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чальник ПЕВ\2019-2023 Фінансовий план підприєм\фінплан 2023\звіт І кв 2023\"/>
    </mc:Choice>
  </mc:AlternateContent>
  <xr:revisionPtr revIDLastSave="0" documentId="13_ncr:1_{5E5D4D34-4A5C-43FE-BC25-EEAD6B0C2DD9}" xr6:coauthVersionLast="47" xr6:coauthVersionMax="47" xr10:uidLastSave="{00000000-0000-0000-0000-000000000000}"/>
  <bookViews>
    <workbookView xWindow="-120" yWindow="-120" windowWidth="29040" windowHeight="15840" tabRatio="838" activeTab="3" xr2:uid="{00000000-000D-0000-FFFF-FFFF00000000}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Формування'!$3:$4</definedName>
    <definedName name="_xlnm.Print_Titles" localSheetId="2">'Розшифровка 2 до формування'!$3:$4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фінпла'!$A$1:$H$98</definedName>
    <definedName name="_xlnm.Print_Area" localSheetId="1">'Розшифровка 1 до Формування'!$A$1:$H$92</definedName>
    <definedName name="_xlnm.Print_Area" localSheetId="2">'Розшифровка 2 до формування'!$A$1:$H$171</definedName>
    <definedName name="_xlnm.Print_Area" localSheetId="4">'Розшифровка за джерелами'!$A$1:$N$15</definedName>
    <definedName name="_xlnm.Print_Area" localSheetId="3">'Розшифровка кап'!$A$1:$G$17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4" l="1"/>
  <c r="H90" i="22"/>
  <c r="G90" i="22"/>
  <c r="H89" i="22"/>
  <c r="G89" i="22"/>
  <c r="H88" i="22"/>
  <c r="G88" i="22"/>
  <c r="H85" i="22"/>
  <c r="G85" i="22"/>
  <c r="H84" i="22"/>
  <c r="G84" i="22"/>
  <c r="H83" i="22"/>
  <c r="G83" i="22"/>
  <c r="H82" i="22"/>
  <c r="G82" i="22"/>
  <c r="H81" i="22"/>
  <c r="G81" i="22"/>
  <c r="H80" i="22"/>
  <c r="G80" i="22"/>
  <c r="H79" i="22"/>
  <c r="G79" i="22"/>
  <c r="H78" i="22"/>
  <c r="G78" i="22"/>
  <c r="H72" i="22"/>
  <c r="G72" i="22"/>
  <c r="H71" i="22"/>
  <c r="G71" i="22"/>
  <c r="H70" i="22"/>
  <c r="G70" i="22"/>
  <c r="H67" i="22"/>
  <c r="G67" i="22"/>
  <c r="H66" i="22"/>
  <c r="G66" i="22"/>
  <c r="H65" i="22"/>
  <c r="G65" i="22"/>
  <c r="H64" i="22"/>
  <c r="G64" i="22"/>
  <c r="H63" i="22"/>
  <c r="G63" i="22"/>
  <c r="H56" i="22"/>
  <c r="G56" i="22"/>
  <c r="H55" i="22"/>
  <c r="G55" i="22"/>
  <c r="H53" i="22"/>
  <c r="G53" i="22"/>
  <c r="H47" i="22"/>
  <c r="G47" i="22"/>
  <c r="H38" i="22"/>
  <c r="G38" i="22"/>
  <c r="H36" i="22"/>
  <c r="G36" i="22"/>
  <c r="H35" i="22"/>
  <c r="G35" i="22"/>
  <c r="H33" i="22"/>
  <c r="G33" i="22"/>
  <c r="H32" i="22"/>
  <c r="G32" i="22"/>
  <c r="H31" i="22"/>
  <c r="G31" i="22"/>
  <c r="H30" i="22"/>
  <c r="G30" i="22"/>
  <c r="H28" i="22"/>
  <c r="G28" i="22"/>
  <c r="H26" i="22"/>
  <c r="G26" i="22"/>
  <c r="H22" i="22"/>
  <c r="G22" i="22"/>
  <c r="H20" i="22"/>
  <c r="G20" i="22"/>
  <c r="H17" i="22"/>
  <c r="G17" i="22"/>
  <c r="H16" i="22"/>
  <c r="G16" i="22"/>
  <c r="H15" i="22"/>
  <c r="G15" i="22"/>
  <c r="H13" i="22"/>
  <c r="G13" i="22"/>
  <c r="F76" i="14"/>
  <c r="F72" i="14"/>
  <c r="F16" i="26" l="1"/>
  <c r="F100" i="26"/>
  <c r="F12" i="22"/>
  <c r="F20" i="26"/>
  <c r="F167" i="26"/>
  <c r="F18" i="22"/>
  <c r="F14" i="22"/>
  <c r="F8" i="22"/>
  <c r="G8" i="22" s="1"/>
  <c r="F7" i="22"/>
  <c r="H11" i="22"/>
  <c r="G11" i="22"/>
  <c r="H9" i="22"/>
  <c r="G9" i="22"/>
  <c r="H8" i="22" l="1"/>
  <c r="F6" i="22"/>
  <c r="H12" i="22"/>
  <c r="F10" i="22"/>
  <c r="H14" i="22"/>
  <c r="G14" i="22"/>
  <c r="H18" i="22"/>
  <c r="G18" i="22"/>
  <c r="G12" i="22"/>
  <c r="M27" i="26"/>
  <c r="L27" i="26"/>
  <c r="M26" i="26"/>
  <c r="L26" i="26"/>
  <c r="M25" i="26"/>
  <c r="L25" i="26"/>
  <c r="K27" i="26"/>
  <c r="K26" i="26"/>
  <c r="K25" i="26"/>
  <c r="M19" i="26"/>
  <c r="L19" i="26"/>
  <c r="M18" i="26"/>
  <c r="L18" i="26"/>
  <c r="K19" i="26"/>
  <c r="K18" i="26"/>
  <c r="F64" i="26"/>
  <c r="F62" i="26" s="1"/>
  <c r="M12" i="26" l="1"/>
  <c r="M32" i="26" s="1"/>
  <c r="M11" i="26"/>
  <c r="M31" i="26" s="1"/>
  <c r="M13" i="26"/>
  <c r="M33" i="26" s="1"/>
  <c r="L13" i="26"/>
  <c r="L33" i="26" s="1"/>
  <c r="L12" i="26"/>
  <c r="L32" i="26" s="1"/>
  <c r="L11" i="26"/>
  <c r="L31" i="26" s="1"/>
  <c r="K12" i="26"/>
  <c r="K32" i="26" s="1"/>
  <c r="K11" i="26"/>
  <c r="K31" i="26" s="1"/>
  <c r="H169" i="26"/>
  <c r="G169" i="26"/>
  <c r="H167" i="26"/>
  <c r="G167" i="26"/>
  <c r="H163" i="26"/>
  <c r="G163" i="26"/>
  <c r="H159" i="26"/>
  <c r="G159" i="26"/>
  <c r="H158" i="26"/>
  <c r="G158" i="26"/>
  <c r="H157" i="26"/>
  <c r="G157" i="26"/>
  <c r="H156" i="26"/>
  <c r="G156" i="26"/>
  <c r="H155" i="26"/>
  <c r="G155" i="26"/>
  <c r="H154" i="26"/>
  <c r="G154" i="26"/>
  <c r="H152" i="26"/>
  <c r="G152" i="26"/>
  <c r="H151" i="26"/>
  <c r="G151" i="26"/>
  <c r="H146" i="26"/>
  <c r="G146" i="26"/>
  <c r="H141" i="26"/>
  <c r="G141" i="26"/>
  <c r="H137" i="26"/>
  <c r="G137" i="26"/>
  <c r="H136" i="26"/>
  <c r="G136" i="26"/>
  <c r="H135" i="26"/>
  <c r="G135" i="26"/>
  <c r="H130" i="26"/>
  <c r="G130" i="26"/>
  <c r="H129" i="26"/>
  <c r="G129" i="26"/>
  <c r="H128" i="26"/>
  <c r="G128" i="26"/>
  <c r="H127" i="26"/>
  <c r="G127" i="26"/>
  <c r="H126" i="26"/>
  <c r="G126" i="26"/>
  <c r="H125" i="26"/>
  <c r="G125" i="26"/>
  <c r="H124" i="26"/>
  <c r="G124" i="26"/>
  <c r="H123" i="26"/>
  <c r="G123" i="26"/>
  <c r="H117" i="26"/>
  <c r="G117" i="26"/>
  <c r="H66" i="26"/>
  <c r="G66" i="26"/>
  <c r="H65" i="26"/>
  <c r="G65" i="26"/>
  <c r="H61" i="26"/>
  <c r="G61" i="26"/>
  <c r="D70" i="26"/>
  <c r="D69" i="26" s="1"/>
  <c r="D133" i="26"/>
  <c r="D131" i="26" s="1"/>
  <c r="H101" i="26"/>
  <c r="G101" i="26"/>
  <c r="H100" i="26"/>
  <c r="G100" i="26"/>
  <c r="D77" i="26"/>
  <c r="F84" i="26"/>
  <c r="F99" i="26"/>
  <c r="F98" i="26" s="1"/>
  <c r="F96" i="26" s="1"/>
  <c r="E99" i="26"/>
  <c r="E98" i="26" s="1"/>
  <c r="E96" i="26" s="1"/>
  <c r="D99" i="26"/>
  <c r="D98" i="26" s="1"/>
  <c r="D96" i="26" s="1"/>
  <c r="G97" i="26"/>
  <c r="H99" i="26" l="1"/>
  <c r="G99" i="26"/>
  <c r="H98" i="26" l="1"/>
  <c r="G98" i="26"/>
  <c r="I11" i="9"/>
  <c r="I6" i="9"/>
  <c r="I13" i="9" s="1"/>
  <c r="D6" i="24"/>
  <c r="D5" i="24" s="1"/>
  <c r="E6" i="24"/>
  <c r="D14" i="24"/>
  <c r="H96" i="26" l="1"/>
  <c r="G96" i="26"/>
  <c r="F96" i="14"/>
  <c r="F95" i="14"/>
  <c r="F94" i="14"/>
  <c r="F89" i="14"/>
  <c r="F85" i="14"/>
  <c r="F81" i="14"/>
  <c r="D96" i="14"/>
  <c r="D95" i="14"/>
  <c r="D94" i="14"/>
  <c r="F64" i="14"/>
  <c r="F57" i="14"/>
  <c r="F52" i="14"/>
  <c r="F42" i="14"/>
  <c r="F25" i="14"/>
  <c r="F22" i="14"/>
  <c r="F16" i="14"/>
  <c r="F9" i="14"/>
  <c r="F15" i="14" s="1"/>
  <c r="F31" i="14" s="1"/>
  <c r="F36" i="14" s="1"/>
  <c r="F39" i="14" s="1"/>
  <c r="F87" i="22"/>
  <c r="F27" i="22"/>
  <c r="F37" i="22"/>
  <c r="F34" i="22"/>
  <c r="F42" i="22"/>
  <c r="F41" i="22"/>
  <c r="F40" i="22"/>
  <c r="F39" i="22"/>
  <c r="F29" i="22"/>
  <c r="F77" i="22"/>
  <c r="F76" i="22"/>
  <c r="F75" i="22"/>
  <c r="F74" i="22"/>
  <c r="F62" i="22"/>
  <c r="F46" i="22"/>
  <c r="F61" i="22"/>
  <c r="F60" i="22"/>
  <c r="F59" i="22"/>
  <c r="F58" i="22"/>
  <c r="F57" i="22"/>
  <c r="F54" i="22"/>
  <c r="F52" i="22"/>
  <c r="F51" i="22"/>
  <c r="F50" i="22"/>
  <c r="F49" i="22"/>
  <c r="F48" i="22"/>
  <c r="F45" i="22"/>
  <c r="F44" i="22"/>
  <c r="F93" i="14" l="1"/>
  <c r="F43" i="14"/>
  <c r="H48" i="22"/>
  <c r="G48" i="22"/>
  <c r="H57" i="22"/>
  <c r="G57" i="22"/>
  <c r="H62" i="22"/>
  <c r="G62" i="22"/>
  <c r="H39" i="22"/>
  <c r="G39" i="22"/>
  <c r="G27" i="22"/>
  <c r="H27" i="22"/>
  <c r="H49" i="22"/>
  <c r="G49" i="22"/>
  <c r="H58" i="22"/>
  <c r="G58" i="22"/>
  <c r="H74" i="22"/>
  <c r="G74" i="22"/>
  <c r="G40" i="22"/>
  <c r="H40" i="22"/>
  <c r="H50" i="22"/>
  <c r="G50" i="22"/>
  <c r="H59" i="22"/>
  <c r="G59" i="22"/>
  <c r="H75" i="22"/>
  <c r="G75" i="22"/>
  <c r="H41" i="22"/>
  <c r="G41" i="22"/>
  <c r="H51" i="22"/>
  <c r="G51" i="22"/>
  <c r="H60" i="22"/>
  <c r="G60" i="22"/>
  <c r="H76" i="22"/>
  <c r="G76" i="22"/>
  <c r="H42" i="22"/>
  <c r="G42" i="22"/>
  <c r="H44" i="22"/>
  <c r="G44" i="22"/>
  <c r="H52" i="22"/>
  <c r="G52" i="22"/>
  <c r="H61" i="22"/>
  <c r="G61" i="22"/>
  <c r="H77" i="22"/>
  <c r="G77" i="22"/>
  <c r="G34" i="22"/>
  <c r="H34" i="22"/>
  <c r="H45" i="22"/>
  <c r="G45" i="22"/>
  <c r="H54" i="22"/>
  <c r="G54" i="22"/>
  <c r="G46" i="22"/>
  <c r="H46" i="22"/>
  <c r="H29" i="22"/>
  <c r="G29" i="22"/>
  <c r="H37" i="22"/>
  <c r="G37" i="22"/>
  <c r="F43" i="22"/>
  <c r="F40" i="14"/>
  <c r="E25" i="14" l="1"/>
  <c r="E22" i="14"/>
  <c r="E42" i="14" s="1"/>
  <c r="E16" i="14"/>
  <c r="E9" i="14"/>
  <c r="E43" i="14" s="1"/>
  <c r="E43" i="22"/>
  <c r="H43" i="22" s="1"/>
  <c r="E10" i="22"/>
  <c r="E91" i="26"/>
  <c r="E153" i="26"/>
  <c r="E150" i="26"/>
  <c r="F150" i="26"/>
  <c r="E110" i="26"/>
  <c r="E64" i="26"/>
  <c r="E21" i="26"/>
  <c r="L14" i="26" s="1"/>
  <c r="G150" i="26" l="1"/>
  <c r="H150" i="26"/>
  <c r="E62" i="26"/>
  <c r="H64" i="26"/>
  <c r="G64" i="26"/>
  <c r="G43" i="22"/>
  <c r="E15" i="14"/>
  <c r="E31" i="14" s="1"/>
  <c r="E36" i="14" s="1"/>
  <c r="E39" i="14" s="1"/>
  <c r="E40" i="14"/>
  <c r="H62" i="26" l="1"/>
  <c r="G62" i="26"/>
  <c r="K13" i="9"/>
  <c r="L12" i="9"/>
  <c r="K12" i="9"/>
  <c r="M12" i="9" s="1"/>
  <c r="L11" i="9"/>
  <c r="K11" i="9"/>
  <c r="M11" i="9" s="1"/>
  <c r="L10" i="9"/>
  <c r="K10" i="9"/>
  <c r="M10" i="9" s="1"/>
  <c r="L9" i="9"/>
  <c r="K9" i="9"/>
  <c r="M9" i="9" s="1"/>
  <c r="L8" i="9"/>
  <c r="K8" i="9"/>
  <c r="M8" i="9" s="1"/>
  <c r="L7" i="9"/>
  <c r="K7" i="9"/>
  <c r="M7" i="9" s="1"/>
  <c r="K6" i="9"/>
  <c r="J6" i="9"/>
  <c r="L6" i="9" s="1"/>
  <c r="E14" i="24"/>
  <c r="F15" i="24"/>
  <c r="N8" i="9" l="1"/>
  <c r="N12" i="9"/>
  <c r="N7" i="9"/>
  <c r="J13" i="9"/>
  <c r="N9" i="9"/>
  <c r="N11" i="9"/>
  <c r="F14" i="24"/>
  <c r="G14" i="24"/>
  <c r="N6" i="9"/>
  <c r="N10" i="9"/>
  <c r="M6" i="9"/>
  <c r="F10" i="24"/>
  <c r="F59" i="26"/>
  <c r="M28" i="26" s="1"/>
  <c r="F162" i="26"/>
  <c r="E162" i="26"/>
  <c r="D162" i="26"/>
  <c r="F153" i="26"/>
  <c r="H162" i="26" l="1"/>
  <c r="G162" i="26"/>
  <c r="G153" i="26"/>
  <c r="H153" i="26"/>
  <c r="F149" i="26"/>
  <c r="E140" i="26"/>
  <c r="D140" i="26"/>
  <c r="D139" i="26" s="1"/>
  <c r="F133" i="26"/>
  <c r="E134" i="26"/>
  <c r="F122" i="26"/>
  <c r="F77" i="26"/>
  <c r="F76" i="26" s="1"/>
  <c r="F74" i="26" s="1"/>
  <c r="F131" i="26" l="1"/>
  <c r="E139" i="26"/>
  <c r="H140" i="26"/>
  <c r="G140" i="26"/>
  <c r="H122" i="26"/>
  <c r="G122" i="26"/>
  <c r="E133" i="26"/>
  <c r="E131" i="26" s="1"/>
  <c r="H134" i="26"/>
  <c r="G134" i="26"/>
  <c r="F91" i="26"/>
  <c r="F90" i="26" s="1"/>
  <c r="H133" i="26" l="1"/>
  <c r="H139" i="26"/>
  <c r="G139" i="26"/>
  <c r="G133" i="26"/>
  <c r="H131" i="26"/>
  <c r="G131" i="26"/>
  <c r="E59" i="26"/>
  <c r="L28" i="26" s="1"/>
  <c r="F52" i="26"/>
  <c r="F34" i="26"/>
  <c r="F21" i="26" s="1"/>
  <c r="M14" i="26" s="1"/>
  <c r="F145" i="26" l="1"/>
  <c r="F144" i="26" l="1"/>
  <c r="H145" i="26"/>
  <c r="G145" i="26"/>
  <c r="C12" i="24"/>
  <c r="C6" i="24"/>
  <c r="D168" i="26"/>
  <c r="D167" i="26"/>
  <c r="D160" i="26"/>
  <c r="D157" i="26"/>
  <c r="D153" i="26"/>
  <c r="D150" i="26"/>
  <c r="D145" i="26"/>
  <c r="D144" i="26" s="1"/>
  <c r="D142" i="26" s="1"/>
  <c r="D129" i="26"/>
  <c r="D121" i="26" s="1"/>
  <c r="D120" i="26" s="1"/>
  <c r="D118" i="26" s="1"/>
  <c r="D116" i="26"/>
  <c r="D115" i="26"/>
  <c r="D113" i="26" s="1"/>
  <c r="D111" i="26"/>
  <c r="D110" i="26" s="1"/>
  <c r="D108" i="26"/>
  <c r="D105" i="26" s="1"/>
  <c r="D104" i="26" s="1"/>
  <c r="D91" i="26"/>
  <c r="D90" i="26" s="1"/>
  <c r="D84" i="26"/>
  <c r="D76" i="26"/>
  <c r="D74" i="26" s="1"/>
  <c r="D67" i="26"/>
  <c r="D59" i="26"/>
  <c r="D49" i="26"/>
  <c r="D44" i="26"/>
  <c r="K17" i="26" s="1"/>
  <c r="D34" i="26"/>
  <c r="D21" i="26" s="1"/>
  <c r="K14" i="26" s="1"/>
  <c r="D9" i="26"/>
  <c r="D87" i="22"/>
  <c r="D81" i="22"/>
  <c r="D80" i="22"/>
  <c r="D79" i="22"/>
  <c r="D78" i="22"/>
  <c r="D77" i="22"/>
  <c r="D76" i="22"/>
  <c r="D75" i="22"/>
  <c r="D74" i="22"/>
  <c r="D71" i="22"/>
  <c r="D70" i="22"/>
  <c r="D63" i="22"/>
  <c r="D62" i="22"/>
  <c r="D61" i="22"/>
  <c r="D58" i="22"/>
  <c r="D54" i="22"/>
  <c r="D52" i="22"/>
  <c r="D51" i="22"/>
  <c r="D49" i="22"/>
  <c r="D48" i="22"/>
  <c r="D44" i="22"/>
  <c r="D42" i="22"/>
  <c r="D41" i="22"/>
  <c r="D40" i="22"/>
  <c r="D39" i="22"/>
  <c r="D37" i="22"/>
  <c r="D36" i="22"/>
  <c r="D35" i="22"/>
  <c r="D34" i="22"/>
  <c r="D32" i="22"/>
  <c r="D30" i="22"/>
  <c r="D28" i="22"/>
  <c r="D27" i="22"/>
  <c r="D26" i="22"/>
  <c r="D21" i="22"/>
  <c r="D19" i="22"/>
  <c r="D10" i="22"/>
  <c r="D6" i="22"/>
  <c r="D57" i="14"/>
  <c r="C95" i="14"/>
  <c r="C94" i="14"/>
  <c r="C89" i="14"/>
  <c r="C87" i="14"/>
  <c r="C85" i="14" s="1"/>
  <c r="C84" i="14"/>
  <c r="C96" i="14" s="1"/>
  <c r="C81" i="14"/>
  <c r="C64" i="14"/>
  <c r="C57" i="14"/>
  <c r="C52" i="14"/>
  <c r="C48" i="14"/>
  <c r="C25" i="14"/>
  <c r="C22" i="14"/>
  <c r="C42" i="14" s="1"/>
  <c r="C18" i="14"/>
  <c r="C16" i="14"/>
  <c r="C9" i="14"/>
  <c r="H112" i="26"/>
  <c r="H79" i="26"/>
  <c r="G79" i="26"/>
  <c r="H78" i="26"/>
  <c r="G78" i="26"/>
  <c r="H45" i="26"/>
  <c r="H36" i="26"/>
  <c r="H20" i="26"/>
  <c r="H17" i="26"/>
  <c r="F13" i="9"/>
  <c r="L13" i="9" s="1"/>
  <c r="M13" i="9" s="1"/>
  <c r="C93" i="14" l="1"/>
  <c r="C43" i="14"/>
  <c r="K21" i="26"/>
  <c r="D56" i="26"/>
  <c r="K23" i="26" s="1"/>
  <c r="K28" i="26"/>
  <c r="K10" i="26"/>
  <c r="K30" i="26" s="1"/>
  <c r="K35" i="26" s="1"/>
  <c r="K34" i="26"/>
  <c r="D82" i="26"/>
  <c r="D80" i="26" s="1"/>
  <c r="D83" i="26"/>
  <c r="D166" i="26"/>
  <c r="K13" i="26"/>
  <c r="K33" i="26" s="1"/>
  <c r="F142" i="26"/>
  <c r="H144" i="26"/>
  <c r="G144" i="26"/>
  <c r="D69" i="22"/>
  <c r="D164" i="26"/>
  <c r="C5" i="24"/>
  <c r="D43" i="26"/>
  <c r="K16" i="26" s="1"/>
  <c r="D149" i="26"/>
  <c r="D147" i="26" s="1"/>
  <c r="D102" i="26"/>
  <c r="D5" i="22"/>
  <c r="D73" i="22"/>
  <c r="D25" i="22"/>
  <c r="D43" i="22"/>
  <c r="D8" i="26"/>
  <c r="C40" i="14"/>
  <c r="C15" i="14"/>
  <c r="C31" i="14" s="1"/>
  <c r="C36" i="14" s="1"/>
  <c r="C39" i="14" s="1"/>
  <c r="G13" i="24"/>
  <c r="E12" i="24"/>
  <c r="K9" i="26" l="1"/>
  <c r="K7" i="26" s="1"/>
  <c r="H142" i="26"/>
  <c r="G142" i="26"/>
  <c r="D6" i="26"/>
  <c r="D5" i="26" s="1"/>
  <c r="F12" i="24"/>
  <c r="E5" i="24"/>
  <c r="G12" i="24"/>
  <c r="F9" i="26" l="1"/>
  <c r="G20" i="26"/>
  <c r="F21" i="22"/>
  <c r="E21" i="22"/>
  <c r="E6" i="22"/>
  <c r="H55" i="26"/>
  <c r="H54" i="26"/>
  <c r="F115" i="26"/>
  <c r="F113" i="26" l="1"/>
  <c r="H21" i="22"/>
  <c r="G21" i="22"/>
  <c r="F49" i="26"/>
  <c r="M21" i="26" s="1"/>
  <c r="M34" i="26" s="1"/>
  <c r="E96" i="14" l="1"/>
  <c r="E95" i="14"/>
  <c r="E94" i="14"/>
  <c r="E49" i="14" l="1"/>
  <c r="E48" i="14"/>
  <c r="E47" i="14"/>
  <c r="E46" i="14"/>
  <c r="E45" i="14"/>
  <c r="F49" i="14"/>
  <c r="F48" i="14"/>
  <c r="F47" i="14"/>
  <c r="F46" i="14"/>
  <c r="F45" i="14"/>
  <c r="D49" i="14"/>
  <c r="D48" i="14"/>
  <c r="D47" i="14"/>
  <c r="D46" i="14"/>
  <c r="D45" i="14"/>
  <c r="C49" i="14"/>
  <c r="C47" i="14"/>
  <c r="C46" i="14"/>
  <c r="C45" i="14"/>
  <c r="F73" i="22" l="1"/>
  <c r="F69" i="22"/>
  <c r="E9" i="26" l="1"/>
  <c r="F44" i="26"/>
  <c r="E8" i="26" l="1"/>
  <c r="F56" i="26"/>
  <c r="F69" i="26"/>
  <c r="F8" i="26" l="1"/>
  <c r="G106" i="26" l="1"/>
  <c r="E44" i="26" l="1"/>
  <c r="G13" i="26"/>
  <c r="E19" i="22" l="1"/>
  <c r="E168" i="26" l="1"/>
  <c r="F168" i="26"/>
  <c r="H168" i="26" l="1"/>
  <c r="G168" i="26"/>
  <c r="M23" i="26"/>
  <c r="E69" i="22"/>
  <c r="H69" i="22" l="1"/>
  <c r="G69" i="22"/>
  <c r="D89" i="14"/>
  <c r="D85" i="14"/>
  <c r="D81" i="14"/>
  <c r="D93" i="14" l="1"/>
  <c r="F83" i="26" l="1"/>
  <c r="F82" i="26" s="1"/>
  <c r="D25" i="14" l="1"/>
  <c r="D22" i="14"/>
  <c r="D42" i="14" s="1"/>
  <c r="D16" i="14"/>
  <c r="D9" i="14"/>
  <c r="D15" i="14" s="1"/>
  <c r="D31" i="14" l="1"/>
  <c r="D36" i="14" s="1"/>
  <c r="D39" i="14" s="1"/>
  <c r="D43" i="14"/>
  <c r="D40" i="14" s="1"/>
  <c r="H13" i="14" l="1"/>
  <c r="F166" i="26"/>
  <c r="E166" i="26"/>
  <c r="E164" i="26" s="1"/>
  <c r="F164" i="26" l="1"/>
  <c r="G166" i="26"/>
  <c r="H166" i="26"/>
  <c r="H14" i="14"/>
  <c r="H53" i="14"/>
  <c r="H32" i="14"/>
  <c r="H27" i="14"/>
  <c r="H28" i="14"/>
  <c r="G8" i="24"/>
  <c r="G9" i="24"/>
  <c r="G7" i="24"/>
  <c r="H107" i="26"/>
  <c r="H108" i="26"/>
  <c r="H109" i="26"/>
  <c r="H106" i="26"/>
  <c r="H85" i="26"/>
  <c r="H86" i="26"/>
  <c r="H87" i="26"/>
  <c r="H88" i="26"/>
  <c r="H89" i="26"/>
  <c r="H84" i="26"/>
  <c r="H71" i="26"/>
  <c r="H53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7" i="26"/>
  <c r="H39" i="26"/>
  <c r="H40" i="26"/>
  <c r="H22" i="26"/>
  <c r="G10" i="26"/>
  <c r="H10" i="26" s="1"/>
  <c r="G11" i="26"/>
  <c r="H11" i="26" s="1"/>
  <c r="G12" i="26"/>
  <c r="H12" i="26" s="1"/>
  <c r="G14" i="26"/>
  <c r="H14" i="26" s="1"/>
  <c r="G15" i="26"/>
  <c r="H15" i="26" s="1"/>
  <c r="H164" i="26" l="1"/>
  <c r="G164" i="26"/>
  <c r="E77" i="26"/>
  <c r="F110" i="26"/>
  <c r="F8" i="24"/>
  <c r="F9" i="24"/>
  <c r="F7" i="24"/>
  <c r="H77" i="26" l="1"/>
  <c r="G77" i="26"/>
  <c r="E76" i="26"/>
  <c r="E74" i="26" s="1"/>
  <c r="N13" i="9" l="1"/>
  <c r="E160" i="26"/>
  <c r="F25" i="22"/>
  <c r="F105" i="26" l="1"/>
  <c r="F104" i="26" l="1"/>
  <c r="F160" i="26"/>
  <c r="F43" i="26"/>
  <c r="M16" i="26" s="1"/>
  <c r="G33" i="26"/>
  <c r="H160" i="26" l="1"/>
  <c r="G160" i="26"/>
  <c r="F102" i="26"/>
  <c r="F6" i="26"/>
  <c r="F147" i="26"/>
  <c r="E105" i="26" l="1"/>
  <c r="E83" i="26"/>
  <c r="E82" i="26" s="1"/>
  <c r="E69" i="26"/>
  <c r="E49" i="26"/>
  <c r="L21" i="26" s="1"/>
  <c r="L34" i="26" s="1"/>
  <c r="E73" i="22"/>
  <c r="H73" i="22" l="1"/>
  <c r="G73" i="22"/>
  <c r="E67" i="26"/>
  <c r="E104" i="26"/>
  <c r="E102" i="26" s="1"/>
  <c r="H105" i="26"/>
  <c r="H104" i="26" l="1"/>
  <c r="F121" i="26" l="1"/>
  <c r="E149" i="26"/>
  <c r="E121" i="26"/>
  <c r="E116" i="26"/>
  <c r="L17" i="26" s="1"/>
  <c r="E56" i="26"/>
  <c r="L23" i="26" s="1"/>
  <c r="H18" i="26"/>
  <c r="H19" i="26"/>
  <c r="E120" i="26" l="1"/>
  <c r="L10" i="26"/>
  <c r="L30" i="26" s="1"/>
  <c r="L35" i="26" s="1"/>
  <c r="E147" i="26"/>
  <c r="H149" i="26"/>
  <c r="G149" i="26"/>
  <c r="F120" i="26"/>
  <c r="H121" i="26"/>
  <c r="G121" i="26"/>
  <c r="M10" i="26"/>
  <c r="E115" i="26"/>
  <c r="G18" i="26"/>
  <c r="G19" i="26"/>
  <c r="H147" i="26" l="1"/>
  <c r="G147" i="26"/>
  <c r="H120" i="26"/>
  <c r="G120" i="26"/>
  <c r="F118" i="26"/>
  <c r="M9" i="26"/>
  <c r="M7" i="26" s="1"/>
  <c r="G115" i="26"/>
  <c r="H115" i="26"/>
  <c r="E118" i="26"/>
  <c r="L9" i="26"/>
  <c r="E113" i="26"/>
  <c r="F67" i="26"/>
  <c r="H70" i="26"/>
  <c r="H7" i="22"/>
  <c r="G7" i="22"/>
  <c r="H82" i="14"/>
  <c r="H83" i="14"/>
  <c r="H84" i="14"/>
  <c r="H86" i="14"/>
  <c r="H87" i="14"/>
  <c r="H88" i="14"/>
  <c r="H90" i="14"/>
  <c r="H91" i="14"/>
  <c r="H92" i="14"/>
  <c r="G82" i="14"/>
  <c r="G83" i="14"/>
  <c r="G84" i="14"/>
  <c r="G86" i="14"/>
  <c r="G87" i="14"/>
  <c r="G88" i="14"/>
  <c r="G90" i="14"/>
  <c r="G91" i="14"/>
  <c r="G92" i="14"/>
  <c r="G71" i="14"/>
  <c r="G72" i="14"/>
  <c r="G73" i="14"/>
  <c r="G74" i="14"/>
  <c r="G75" i="14"/>
  <c r="G77" i="14"/>
  <c r="G53" i="14"/>
  <c r="G54" i="14"/>
  <c r="G55" i="14"/>
  <c r="G56" i="14"/>
  <c r="G58" i="14"/>
  <c r="G59" i="14"/>
  <c r="G60" i="14"/>
  <c r="G61" i="14"/>
  <c r="G62" i="14"/>
  <c r="G63" i="14"/>
  <c r="G65" i="14"/>
  <c r="G66" i="14"/>
  <c r="G67" i="14"/>
  <c r="G32" i="14"/>
  <c r="G33" i="14"/>
  <c r="G34" i="14"/>
  <c r="G35" i="14"/>
  <c r="G37" i="14"/>
  <c r="G38" i="14"/>
  <c r="G41" i="14"/>
  <c r="G26" i="14"/>
  <c r="G27" i="14"/>
  <c r="G28" i="14"/>
  <c r="G29" i="14"/>
  <c r="G13" i="14"/>
  <c r="G14" i="14"/>
  <c r="G118" i="26" l="1"/>
  <c r="H118" i="26"/>
  <c r="G113" i="26"/>
  <c r="H113" i="26"/>
  <c r="F116" i="26"/>
  <c r="E90" i="26"/>
  <c r="E87" i="22"/>
  <c r="E25" i="22"/>
  <c r="F19" i="22"/>
  <c r="E5" i="22"/>
  <c r="H116" i="26" l="1"/>
  <c r="G116" i="26"/>
  <c r="M17" i="26"/>
  <c r="M30" i="26" s="1"/>
  <c r="M35" i="26" s="1"/>
  <c r="G19" i="22"/>
  <c r="H19" i="22"/>
  <c r="H25" i="22"/>
  <c r="G25" i="22"/>
  <c r="H87" i="22"/>
  <c r="G87" i="22"/>
  <c r="H76" i="26"/>
  <c r="G76" i="26"/>
  <c r="H21" i="26"/>
  <c r="F80" i="26"/>
  <c r="F5" i="26" s="1"/>
  <c r="G9" i="26"/>
  <c r="H9" i="26"/>
  <c r="E80" i="26"/>
  <c r="F5" i="22"/>
  <c r="E43" i="26"/>
  <c r="L16" i="26" s="1"/>
  <c r="L7" i="26" s="1"/>
  <c r="E6" i="26" l="1"/>
  <c r="E5" i="26" s="1"/>
  <c r="G74" i="26"/>
  <c r="H34" i="14"/>
  <c r="E81" i="14" l="1"/>
  <c r="F50" i="14"/>
  <c r="F5" i="24"/>
  <c r="H56" i="26"/>
  <c r="G56" i="26"/>
  <c r="G54" i="26"/>
  <c r="G53" i="26"/>
  <c r="H52" i="26"/>
  <c r="G52" i="26"/>
  <c r="H51" i="26"/>
  <c r="G51" i="26"/>
  <c r="G50" i="26"/>
  <c r="H49" i="26"/>
  <c r="G49" i="26"/>
  <c r="G112" i="26"/>
  <c r="H111" i="26"/>
  <c r="G111" i="26"/>
  <c r="H110" i="26"/>
  <c r="G110" i="26"/>
  <c r="G109" i="26"/>
  <c r="G108" i="26"/>
  <c r="G107" i="26"/>
  <c r="G105" i="26"/>
  <c r="G104" i="26"/>
  <c r="G103" i="26"/>
  <c r="H102" i="26"/>
  <c r="G102" i="26"/>
  <c r="H95" i="26"/>
  <c r="G95" i="26"/>
  <c r="H94" i="26"/>
  <c r="G94" i="26"/>
  <c r="H93" i="26"/>
  <c r="G93" i="26"/>
  <c r="H92" i="26"/>
  <c r="G92" i="26"/>
  <c r="H91" i="26"/>
  <c r="G91" i="26"/>
  <c r="H90" i="26"/>
  <c r="G90" i="26"/>
  <c r="G88" i="26"/>
  <c r="G87" i="26"/>
  <c r="G86" i="26"/>
  <c r="G85" i="26"/>
  <c r="G84" i="26"/>
  <c r="H83" i="26"/>
  <c r="G83" i="26"/>
  <c r="H82" i="26"/>
  <c r="G82" i="26"/>
  <c r="G81" i="26"/>
  <c r="G80" i="26"/>
  <c r="H73" i="26"/>
  <c r="G73" i="26"/>
  <c r="H72" i="26"/>
  <c r="G72" i="26"/>
  <c r="G71" i="26"/>
  <c r="H67" i="26"/>
  <c r="G67" i="26"/>
  <c r="G70" i="26"/>
  <c r="H48" i="26"/>
  <c r="G48" i="26"/>
  <c r="H47" i="26"/>
  <c r="G47" i="26"/>
  <c r="G46" i="26"/>
  <c r="H46" i="26" s="1"/>
  <c r="G45" i="26"/>
  <c r="H44" i="26"/>
  <c r="G44" i="26"/>
  <c r="H43" i="26"/>
  <c r="G43" i="26"/>
  <c r="G40" i="26"/>
  <c r="G39" i="26"/>
  <c r="G37" i="26"/>
  <c r="G36" i="26"/>
  <c r="G35" i="26"/>
  <c r="G34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17" i="26"/>
  <c r="H16" i="26"/>
  <c r="G16" i="26"/>
  <c r="G5" i="26" l="1"/>
  <c r="H5" i="26"/>
  <c r="G94" i="14"/>
  <c r="H94" i="14"/>
  <c r="H96" i="14"/>
  <c r="G96" i="14"/>
  <c r="H81" i="14"/>
  <c r="G81" i="14"/>
  <c r="G95" i="14"/>
  <c r="H95" i="14"/>
  <c r="G6" i="24"/>
  <c r="F6" i="24"/>
  <c r="G89" i="26"/>
  <c r="H80" i="26"/>
  <c r="G69" i="26"/>
  <c r="H69" i="26"/>
  <c r="G40" i="14" l="1"/>
  <c r="G39" i="14"/>
  <c r="G36" i="14"/>
  <c r="D70" i="14" l="1"/>
  <c r="D64" i="14"/>
  <c r="D52" i="14"/>
  <c r="D50" i="14"/>
  <c r="D68" i="14" l="1"/>
  <c r="H25" i="14"/>
  <c r="H16" i="14"/>
  <c r="G8" i="14"/>
  <c r="H8" i="14"/>
  <c r="G10" i="14"/>
  <c r="H10" i="14"/>
  <c r="G11" i="14"/>
  <c r="H11" i="14"/>
  <c r="G12" i="14"/>
  <c r="H12" i="14"/>
  <c r="G17" i="14"/>
  <c r="H17" i="14"/>
  <c r="G18" i="14"/>
  <c r="H18" i="14"/>
  <c r="G19" i="14"/>
  <c r="H19" i="14"/>
  <c r="G20" i="14"/>
  <c r="G21" i="14"/>
  <c r="H21" i="14"/>
  <c r="G23" i="14"/>
  <c r="G24" i="14"/>
  <c r="H24" i="14"/>
  <c r="G30" i="14"/>
  <c r="H30" i="14"/>
  <c r="H60" i="26"/>
  <c r="G60" i="26"/>
  <c r="H59" i="26"/>
  <c r="G59" i="26"/>
  <c r="H58" i="26"/>
  <c r="G58" i="26"/>
  <c r="G25" i="14" l="1"/>
  <c r="G16" i="14"/>
  <c r="H9" i="14"/>
  <c r="H15" i="14"/>
  <c r="G9" i="14"/>
  <c r="H42" i="14"/>
  <c r="G42" i="14"/>
  <c r="G22" i="14"/>
  <c r="H22" i="14"/>
  <c r="H31" i="14" l="1"/>
  <c r="G15" i="14"/>
  <c r="H43" i="14"/>
  <c r="G43" i="14"/>
  <c r="G31" i="14" l="1"/>
  <c r="H57" i="26" l="1"/>
  <c r="G57" i="26"/>
  <c r="H8" i="26"/>
  <c r="G8" i="26"/>
  <c r="G6" i="26"/>
  <c r="H10" i="22"/>
  <c r="G10" i="22"/>
  <c r="H6" i="22"/>
  <c r="G6" i="22"/>
  <c r="H5" i="22"/>
  <c r="G5" i="22"/>
  <c r="H6" i="26" l="1"/>
  <c r="E50" i="14" l="1"/>
  <c r="C50" i="14"/>
  <c r="H49" i="14"/>
  <c r="G49" i="14"/>
  <c r="H48" i="14"/>
  <c r="G48" i="14"/>
  <c r="H47" i="14"/>
  <c r="G47" i="14"/>
  <c r="H46" i="14"/>
  <c r="G46" i="14"/>
  <c r="H45" i="14"/>
  <c r="G45" i="14"/>
  <c r="E85" i="14"/>
  <c r="G85" i="14" l="1"/>
  <c r="H85" i="14"/>
  <c r="H50" i="14"/>
  <c r="G50" i="14"/>
  <c r="E89" i="14" l="1"/>
  <c r="E93" i="14" s="1"/>
  <c r="H89" i="14" l="1"/>
  <c r="G89" i="14"/>
  <c r="G5" i="24"/>
  <c r="H93" i="14" l="1"/>
  <c r="G93" i="14"/>
  <c r="H72" i="14"/>
  <c r="H59" i="14"/>
  <c r="H66" i="14"/>
  <c r="H67" i="14"/>
  <c r="C70" i="14" l="1"/>
  <c r="E70" i="14"/>
  <c r="F70" i="14"/>
  <c r="G70" i="14" l="1"/>
  <c r="H70" i="14"/>
  <c r="E64" i="14"/>
  <c r="E57" i="14"/>
  <c r="E52" i="14"/>
  <c r="G64" i="14" l="1"/>
  <c r="G57" i="14"/>
  <c r="H64" i="14"/>
  <c r="H57" i="14"/>
  <c r="C68" i="14"/>
  <c r="E68" i="14"/>
  <c r="H55" i="14" l="1"/>
  <c r="H52" i="14" l="1"/>
  <c r="G52" i="14"/>
  <c r="F68" i="14"/>
  <c r="G68" i="14" s="1"/>
  <c r="H68" i="14" l="1"/>
</calcChain>
</file>

<file path=xl/sharedStrings.xml><?xml version="1.0" encoding="utf-8"?>
<sst xmlns="http://schemas.openxmlformats.org/spreadsheetml/2006/main" count="540" uniqueCount="324">
  <si>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</si>
  <si>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</si>
  <si>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</si>
  <si>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</si>
  <si>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</si>
  <si>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</si>
  <si>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</si>
  <si>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</si>
  <si>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</si>
  <si>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</si>
  <si>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</si>
  <si>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</si>
  <si>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</si>
  <si>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</si>
  <si>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</si>
  <si>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</si>
  <si>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</si>
  <si>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</si>
  <si>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</si>
  <si>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</si>
  <si>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</si>
  <si>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</si>
  <si>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</si>
  <si>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</si>
  <si>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</si>
  <si>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</si>
  <si>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</si>
  <si>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</si>
  <si>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</si>
  <si>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</si>
  <si>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</si>
  <si>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</si>
  <si>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</si>
  <si>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</si>
  <si>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</si>
  <si>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</si>
  <si>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</si>
  <si>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</si>
  <si>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</si>
  <si>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</si>
  <si>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</si>
  <si>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</si>
  <si>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</si>
  <si>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</si>
  <si>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</si>
  <si>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</si>
  <si>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</si>
  <si>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</si>
  <si>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</si>
  <si>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</si>
  <si>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</si>
  <si>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</si>
  <si>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</si>
  <si>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</si>
  <si>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</si>
  <si>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</si>
  <si>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</si>
  <si>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</si>
  <si>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</si>
  <si>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</si>
  <si>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</si>
  <si>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</si>
  <si>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</si>
  <si>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</si>
  <si>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</si>
  <si>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</si>
  <si>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</si>
  <si>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</si>
  <si>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</si>
  <si>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ВИТРАТИ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</si>
  <si>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</si>
  <si>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</si>
  <si>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</si>
  <si>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</si>
  <si>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</si>
  <si>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</si>
  <si>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</si>
  <si>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Адміністративні витрати, усього, у т.ч.:</t>
  </si>
  <si>
    <t>2.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</si>
  <si>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</si>
  <si>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</si>
  <si>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</si>
  <si>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</si>
  <si>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</si>
  <si>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</si>
  <si>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</si>
  <si>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4.</t>
  </si>
  <si>
    <t>5.</t>
  </si>
  <si>
    <t>6.1</t>
  </si>
  <si>
    <t>Матеріальні витрати, усього, у т.ч.:</t>
  </si>
  <si>
    <t>5.1</t>
  </si>
  <si>
    <t>факт</t>
  </si>
  <si>
    <t>відхилення, +/-</t>
  </si>
  <si>
    <t>виконання, 
%</t>
  </si>
  <si>
    <t>відхилення, 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</si>
  <si>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</si>
  <si>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</si>
  <si>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</si>
  <si>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</si>
  <si>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</si>
  <si>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</si>
  <si>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</si>
  <si>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Факт наростаючим підсумком з початку року</t>
  </si>
  <si>
    <t>Елементи операційних витрат:</t>
  </si>
  <si>
    <t>Залучення кредитних коштів</t>
  </si>
  <si>
    <t>Власні кошти</t>
  </si>
  <si>
    <t>Усього:</t>
  </si>
  <si>
    <t>кошти державного бюджету від Національної служби здоров'я України</t>
  </si>
  <si>
    <t>6.</t>
  </si>
  <si>
    <t>7.</t>
  </si>
  <si>
    <t xml:space="preserve">нарахування амортизації на безоплатно отримані активи </t>
  </si>
  <si>
    <t>медикаменти та перев'язувальні матеріали</t>
  </si>
  <si>
    <t xml:space="preserve">бланки медичні та бухгалтерські </t>
  </si>
  <si>
    <t>канцелярські товари</t>
  </si>
  <si>
    <t>передплата періодичних видань</t>
  </si>
  <si>
    <t>страхування водіїв, автотранспорту, на випадок СНіДу, членів добровільних пожежних дружин, на випадок гепатиту</t>
  </si>
  <si>
    <t>витрати на зв'язок</t>
  </si>
  <si>
    <t>послуги архіву</t>
  </si>
  <si>
    <t>послуги охорони</t>
  </si>
  <si>
    <t>метрологічна повірка медичного обладнання</t>
  </si>
  <si>
    <t>обслуговування ліфту</t>
  </si>
  <si>
    <t>дератизація, дезинфекція</t>
  </si>
  <si>
    <t>сигналізація</t>
  </si>
  <si>
    <t>обстеження медичних працівників</t>
  </si>
  <si>
    <t>заходи по радіаційній безпеці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</si>
  <si>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</si>
  <si>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</si>
  <si>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</si>
  <si>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оплата інших енергоносіїв</t>
  </si>
  <si>
    <t>навчання у сфері цивільного захисту та охорони праці</t>
  </si>
  <si>
    <t>обстеження ургентних хворих (КТ)</t>
  </si>
  <si>
    <t>відшкодування пільгових пенсій</t>
  </si>
  <si>
    <t xml:space="preserve">продукти харчування </t>
  </si>
  <si>
    <t>Директор КНП "ВМКЛ ШМД"</t>
  </si>
  <si>
    <t xml:space="preserve">оплата природнього газу  </t>
  </si>
  <si>
    <t>лікарняні листи перші 5 днів</t>
  </si>
  <si>
    <t>Кошти отримані від реалізації майна</t>
  </si>
  <si>
    <t>9.</t>
  </si>
  <si>
    <t>10.</t>
  </si>
  <si>
    <t>Розшифровка до розділу  IV. "Капітальні інвестиції за джерелами надходження"</t>
  </si>
  <si>
    <t>папір</t>
  </si>
  <si>
    <t>миючі засоби</t>
  </si>
  <si>
    <t>будівельні матеріали</t>
  </si>
  <si>
    <t>господарські товари, енергозберігаючі лампочки</t>
  </si>
  <si>
    <t>м'який інвентар</t>
  </si>
  <si>
    <t>ремонт медичного обладнання та поточний ремонт приміщень</t>
  </si>
  <si>
    <t>ТО диз.генератора, газового обладн., аварійного освітлення, перев.і випробування пожеж.гідрантів, ел.вимірювання</t>
  </si>
  <si>
    <t>оренда рентгенустановки</t>
  </si>
  <si>
    <t>Інші адміністративні витрати, в т.ч.:</t>
  </si>
  <si>
    <t>перезарядка картриджів</t>
  </si>
  <si>
    <t>ТО ПК, оргтехніки</t>
  </si>
  <si>
    <t>банківське обслуговування, обслуговування особового рахунку</t>
  </si>
  <si>
    <t>Інші адміністративні витрати, усього, у т.ч.:</t>
  </si>
  <si>
    <t>Собівартість реалізованої продукції (товарів, робіт, послуг):</t>
  </si>
  <si>
    <t>придбання (виготовлення) основних засобів, усього, у т.ч.:</t>
  </si>
  <si>
    <t>план</t>
  </si>
  <si>
    <t>кошти отримані від реалізації майна</t>
  </si>
  <si>
    <t>Інші фінансові доходи, усього, у тому числі:</t>
  </si>
  <si>
    <t>надходження від відсотків за залишками коштів на депозитних рахунках</t>
  </si>
  <si>
    <t>2.1</t>
  </si>
  <si>
    <t>інформаційно-консультативні послуги</t>
  </si>
  <si>
    <t>гістологічне дослідження (патанатомія)</t>
  </si>
  <si>
    <t>1.1.1</t>
  </si>
  <si>
    <t>1.1.2</t>
  </si>
  <si>
    <t>1.1.3</t>
  </si>
  <si>
    <t>1.2.1</t>
  </si>
  <si>
    <t>1.2.2</t>
  </si>
  <si>
    <t>1.2.3</t>
  </si>
  <si>
    <t>1.3</t>
  </si>
  <si>
    <t>2.1.2</t>
  </si>
  <si>
    <t>4.1</t>
  </si>
  <si>
    <t>4.1.1</t>
  </si>
  <si>
    <t>Кошти орендарів (відшкодування за енергоносії)</t>
  </si>
  <si>
    <t>9.1</t>
  </si>
  <si>
    <t>супровід програмного забезпечення</t>
  </si>
  <si>
    <t>навчання у сфері цивільного захисту, охорони праці</t>
  </si>
  <si>
    <t>обстеження мед.працівників</t>
  </si>
  <si>
    <t>Залишок матеріалів, придбаних у минулих періодах за рахунок коштів медичної субвенції з державного бюджету</t>
  </si>
  <si>
    <t>5.1.1</t>
  </si>
  <si>
    <t>6.1.1</t>
  </si>
  <si>
    <t>7.1</t>
  </si>
  <si>
    <t>7.1.1</t>
  </si>
  <si>
    <t>7.2</t>
  </si>
  <si>
    <t>8.1</t>
  </si>
  <si>
    <t>8.1.1</t>
  </si>
  <si>
    <t>предмети, матеріали, обладнання та інвентар</t>
  </si>
  <si>
    <t>Надходження від відсотків за залишками коштів на депозитних рахунках</t>
  </si>
  <si>
    <t>відхилення, (+/-)</t>
  </si>
  <si>
    <t>відхилення, 
(%)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</si>
  <si>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</si>
  <si>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(бензин, дизельне паливо)</t>
    </r>
  </si>
  <si>
    <t>витрати, пов'язані з використанням автомобілів (ТО, ремонт)</t>
  </si>
  <si>
    <t>страхування водіїв, автотранспорту, на випадок СНіДу, членів ДПД</t>
  </si>
  <si>
    <t>охоронні послуги</t>
  </si>
  <si>
    <t>метрологічна повірка медичного обладнання, повірка лічильників</t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</si>
  <si>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(технічне обслуговування та ремонт)</t>
    </r>
  </si>
  <si>
    <t>9.1.1</t>
  </si>
  <si>
    <t>бланки</t>
  </si>
  <si>
    <t>канцтовари</t>
  </si>
  <si>
    <t>Інші адміністративні витрати,усього, в т.ч.:</t>
  </si>
  <si>
    <t>Інші операційні витрати, усього, в т.ч.:</t>
  </si>
  <si>
    <t>Інші витрати, усього, в т.ч.: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</si>
  <si>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</si>
  <si>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>кошти орендарів</t>
    </r>
    <r>
      <rPr>
        <i/>
        <sz val="14"/>
        <rFont val="Times New Roman"/>
        <family val="1"/>
        <charset val="204"/>
      </rPr>
      <t xml:space="preserve"> (відшкодування за енергоносії)</t>
    </r>
  </si>
  <si>
    <t>1.3.2</t>
  </si>
  <si>
    <t>1.3.3</t>
  </si>
  <si>
    <t xml:space="preserve">Відрахування на соціальні заходи </t>
  </si>
  <si>
    <t>Матеріальні витрати, усього, в т.ч.:</t>
  </si>
  <si>
    <t>Нарахування амортизації на безоплатно отримані активи</t>
  </si>
  <si>
    <t>інші податки, збори та платежі (профспілкові внески)</t>
  </si>
  <si>
    <t>2.1.1</t>
  </si>
  <si>
    <t>Бюджетне фінансування (кошти ВМТГ)</t>
  </si>
  <si>
    <t>Інші джерела (кошти НСЗУ)</t>
  </si>
  <si>
    <t xml:space="preserve">Нараховані до сплати податки та збори до Державного бюджету України (податкові платежі) </t>
  </si>
  <si>
    <t>витрати на відрядження (проїзний - поповнення безконтактної неперсоніфікованої смарт - карти на проїзд)</t>
  </si>
  <si>
    <t>утилізація ламп, мед.відходів</t>
  </si>
  <si>
    <t>господарські товари, запчастини</t>
  </si>
  <si>
    <t>Амортизація основних засобів</t>
  </si>
  <si>
    <t>Капітальні інвестиції, усього, у тому числі:</t>
  </si>
  <si>
    <t>Директор КНП "ВМКЛШМД"</t>
  </si>
  <si>
    <t xml:space="preserve">Амортизація </t>
  </si>
  <si>
    <t>І квартал 2021 року</t>
  </si>
  <si>
    <t>І квартал 2022 року</t>
  </si>
  <si>
    <t>атестація робочих місць</t>
  </si>
  <si>
    <t>1.1.4</t>
  </si>
  <si>
    <t>Факт І кварталу 2022 року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</si>
  <si>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</si>
  <si>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</si>
  <si>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</si>
  <si>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</si>
  <si>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</si>
  <si>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</si>
  <si>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</si>
  <si>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</si>
  <si>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паливно-мастильні матеріали</t>
  </si>
  <si>
    <t>3.</t>
  </si>
  <si>
    <t>3.1</t>
  </si>
  <si>
    <t>3.1.1</t>
  </si>
  <si>
    <t>7.2.1</t>
  </si>
  <si>
    <t>11.</t>
  </si>
  <si>
    <t>11.1</t>
  </si>
  <si>
    <t>предмети, матеріали, обладнання, інвентар (носилки, кліщі)</t>
  </si>
  <si>
    <t xml:space="preserve">господарські товари, енергозберігаючі лампочки, картриджі, миючі засоби, захисні накладки  на вікна для каб. КТ, монітор </t>
  </si>
  <si>
    <t>1.2.4</t>
  </si>
  <si>
    <t>1.3.1</t>
  </si>
  <si>
    <t>в дохід бюджету зарплата минулих періодів</t>
  </si>
  <si>
    <t>предмети, матеріали, обладнання, інвентар (принтери, меблі, сервер, акумул.батарея, картриджі)</t>
  </si>
  <si>
    <t>10.1</t>
  </si>
  <si>
    <t>10.1.1</t>
  </si>
  <si>
    <t>оплата за отримання ліцензії, держ.реєстрація статуту</t>
  </si>
  <si>
    <t>предмети, матеріали, обладнання, інвентар (принтери, меблі, сервер, акумул.батарея, картриджі, носилки, кліщі)</t>
  </si>
  <si>
    <t>оплата послуг (крім комунальних): ремонт обладнання, поточні рем.та ін.; страхування автоцивілки, послуги банку</t>
  </si>
  <si>
    <t>господарські товари, енергозберігаючі лампочки, картриджі, запчастини</t>
  </si>
  <si>
    <t>-</t>
  </si>
  <si>
    <t>за повідомлення про погодж.тарифу на проходження стажування лік.-інтернів ("Вінницька газета")</t>
  </si>
  <si>
    <t>5.2</t>
  </si>
  <si>
    <t>5.2.1</t>
  </si>
  <si>
    <t>Олександр ФОМІН</t>
  </si>
  <si>
    <t>Благодійні внески (натура)</t>
  </si>
  <si>
    <t>Благодійні внески (натура)(залишки минулих періодів)</t>
  </si>
  <si>
    <t>добудова головного корпусу КНП "ВМКЛ ШМД" за адресою: м.Вінниця, вул. Київська, 68</t>
  </si>
  <si>
    <t xml:space="preserve">            (підпис)</t>
  </si>
  <si>
    <t>благодійні внески (натуральні поеказники)</t>
  </si>
  <si>
    <t>І квартал 2023 року</t>
  </si>
  <si>
    <t>Факт                             І квартал 2023 року</t>
  </si>
  <si>
    <t>План                      І квартал 2023 року</t>
  </si>
  <si>
    <t>План І квартал 2023 року</t>
  </si>
  <si>
    <t>Факт І кварталу 2023 року</t>
  </si>
  <si>
    <t xml:space="preserve">Факт І квартал 2022 року </t>
  </si>
  <si>
    <t>Факт І квартал 2023 року</t>
  </si>
  <si>
    <t>ремонт медичного та іншого обладнання</t>
  </si>
  <si>
    <t>виготовл.і встановлення металопластиков.конструкцій</t>
  </si>
  <si>
    <t>інформ.-консультативні послуги; навчання</t>
  </si>
  <si>
    <t>ТО диз.генератора, газового обладн., аварійного освітлення, перев.і випробування пожеж.гідрантів, ел.вимірювання, тех.нагляд за об'єктами, промивка та випробув. сист.опалення, перев.дозоформ.параметри, встановлення камери відеоспостереження, розробка паспортів вентиляції в добудові</t>
  </si>
  <si>
    <t>господарські товари, енергозберігаючі лампочки, миючі засоби</t>
  </si>
  <si>
    <t>Благодійні внески (кошти)</t>
  </si>
  <si>
    <t>Централізоване постачання</t>
  </si>
  <si>
    <t>адвокадські послуги, що стосуються статутної діяльності</t>
  </si>
  <si>
    <t>Відшкодування в бюджет (за скоєння злочину)</t>
  </si>
  <si>
    <t>Інші операційні витрати, усього, у т.ч.:</t>
  </si>
  <si>
    <t>монітор мед.рідкокристалічний MDNC-2123</t>
  </si>
  <si>
    <t>система холтерівського моніторування ЕКГ "ECGpro Holter", комплект у складі 4 одиниць</t>
  </si>
  <si>
    <t>серевер ARTLINE для обслуговування МІС "Д-р Елекс"</t>
  </si>
  <si>
    <t>мережеве сховище інформації SYNOLOGY NASDS220+</t>
  </si>
  <si>
    <t>капітальний ремонт</t>
  </si>
  <si>
    <t>капітальний ремонт частини приміщень в рамках проекту EMERGENCY-2020 (під ангіограф), технічний нагляд за об'єктом</t>
  </si>
  <si>
    <t>Придбання (виготовлення) основних засобів, усього, у т.ч.:</t>
  </si>
  <si>
    <t>Капітальний ремонт, усього, у т.ч.:</t>
  </si>
  <si>
    <t>оплата послуг (крім комунальних): ремонт обладнання, поточні рем.та ін.</t>
  </si>
  <si>
    <r>
      <t>Кошти державного бюджету від Національної служби здоров'я України (</t>
    </r>
    <r>
      <rPr>
        <b/>
        <i/>
        <sz val="14"/>
        <rFont val="Times New Roman"/>
        <family val="1"/>
        <charset val="204"/>
      </rPr>
      <t>забезпечення кадрового потенціалу системи охорони здоров'я шляхом організації надання медичної допомоги із залученням лікарів-інтернів)</t>
    </r>
  </si>
  <si>
    <t>предмети, матеріали, обладнання та інвентар, господарські товари</t>
  </si>
  <si>
    <t>(    )</t>
  </si>
  <si>
    <t>виготовлення і встановлення металопластикових конструкцій</t>
  </si>
  <si>
    <t>інші операційні витрати</t>
  </si>
  <si>
    <t>система холтерівського моніторування ЕКГ</t>
  </si>
  <si>
    <t>Звітний період І квартал 2023 року</t>
  </si>
  <si>
    <t>Кошти  бюджету Вінницької міської територіальної громади (ВМТГ) (залишки минулих періодів)</t>
  </si>
  <si>
    <t>Кошти бюджету Вінницької міської територіальної громади (ВМТГ)</t>
  </si>
  <si>
    <t>8.</t>
  </si>
  <si>
    <t>3.1.2</t>
  </si>
  <si>
    <t>3.1.3</t>
  </si>
  <si>
    <t>11.1.1</t>
  </si>
  <si>
    <t>12.</t>
  </si>
  <si>
    <t>12.1</t>
  </si>
  <si>
    <t>12.1.1</t>
  </si>
  <si>
    <t>13.</t>
  </si>
  <si>
    <t>13.1</t>
  </si>
  <si>
    <t>13.1.1</t>
  </si>
  <si>
    <t>13.1.2</t>
  </si>
  <si>
    <t>13.2</t>
  </si>
  <si>
    <t>13.2.1</t>
  </si>
  <si>
    <t>14.</t>
  </si>
  <si>
    <t>14.1</t>
  </si>
  <si>
    <t>14.1.1</t>
  </si>
  <si>
    <t>благодійні внески (кошти)</t>
  </si>
  <si>
    <t>централізоване постачання</t>
  </si>
  <si>
    <t xml:space="preserve">кошти бюджету Вінницької міської територіальної громади </t>
  </si>
  <si>
    <t>кошти бюджету Вінницької міської територіальної громади (залишки минулих періодів)</t>
  </si>
  <si>
    <r>
      <t>кошти державного бюджету від Національної служби здоров'я України (</t>
    </r>
    <r>
      <rPr>
        <i/>
        <sz val="14"/>
        <rFont val="Times New Roman"/>
        <family val="1"/>
        <charset val="204"/>
      </rPr>
      <t>забезпечення кадрового потенціалу системи охорони здоров'я шляхом організації надання медичної допомоги із залученням лікарів-інтернів</t>
    </r>
    <r>
      <rPr>
        <sz val="14"/>
        <rFont val="Times New Roman"/>
        <family val="1"/>
        <charset val="204"/>
      </rPr>
      <t>)</t>
    </r>
  </si>
  <si>
    <t>кошти з відшкодування по нещасним випадкам на виробництві і за скоєння злочину</t>
  </si>
  <si>
    <t xml:space="preserve">ЗВІТ
 про виконання показників фінансового плану Комунального некомерційного підприємства                             "Вінницька міська клінічна лікарня швидкої медичної допомоги"
за І квартал 2023 року   </t>
  </si>
  <si>
    <t>15.</t>
  </si>
  <si>
    <t>15.1</t>
  </si>
  <si>
    <t>15.2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</si>
</sst>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\ _₴_-;\-* #,##0.00\ _₴_-;_-* &quot;-&quot;??\ _₴_-;_-@_-"/>
    <numFmt numFmtId="165" formatCode="_-* #,##0.00_₴_-;\-* #,##0.00_₴_-;_-* &quot;-&quot;??_₴_-;_-@_-"/>
    <numFmt numFmtId="166" formatCode="_-* #,##0.00\ _г_р_н_._-;\-* #,##0.00\ _г_р_н_._-;_-* &quot;-&quot;??\ _г_р_н_._-;_-@_-"/>
    <numFmt numFmtId="167" formatCode="#,##0&quot;р.&quot;;[Red]\-#,##0&quot;р.&quot;"/>
    <numFmt numFmtId="168" formatCode="#,##0.00&quot;р.&quot;;\-#,##0.00&quot;р.&quot;"/>
    <numFmt numFmtId="169" formatCode="_-* #,##0.00_р_._-;\-* #,##0.00_р_._-;_-* &quot;-&quot;??_р_._-;_-@_-"/>
    <numFmt numFmtId="170" formatCode="0.0"/>
    <numFmt numFmtId="171" formatCode="#,##0.0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#,##0.0_ ;[Red]\-#,##0.0\ "/>
    <numFmt numFmtId="177" formatCode="0.0;\(0.0\);\ ;\-"/>
    <numFmt numFmtId="178" formatCode="_(* #,##0_);_(* \(#,##0\);_(* &quot;-&quot;??_);_(@_)"/>
    <numFmt numFmtId="179" formatCode="_(* #,##0.0_);_(* \(#,##0.0\);_(* &quot;-&quot;_);_(@_)"/>
    <numFmt numFmtId="180" formatCode="_-* #,##0.0_₴_-;\-* #,##0.0_₴_-;_-* &quot;-&quot;?_₴_-;_-@_-"/>
    <numFmt numFmtId="181" formatCode="#,##0.000"/>
    <numFmt numFmtId="182" formatCode="_(* #,##0.0_);_(* \(#,##0.0\);_(* &quot;-&quot;??_);_(@_)"/>
    <numFmt numFmtId="183" formatCode="_-* #,##0.0\ _₴_-;\-* #,##0.0\ _₴_-;_-* &quot;-&quot;?\ _₴_-;_-@_-"/>
  </numFmts>
  <fonts count="10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6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2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3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4" fontId="57" fillId="0" borderId="0" applyFont="0" applyFill="0" applyBorder="0" applyAlignment="0" applyProtection="0"/>
    <xf numFmtId="17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7" fontId="59" fillId="22" borderId="12" applyFill="0" applyBorder="0">
      <alignment horizontal="center" vertical="center" wrapText="1"/>
      <protection locked="0"/>
    </xf>
    <xf numFmtId="172" fontId="60" fillId="0" borderId="0">
      <alignment wrapText="1"/>
    </xf>
    <xf numFmtId="172" fontId="27" fillId="0" borderId="0">
      <alignment wrapText="1"/>
    </xf>
    <xf numFmtId="0" fontId="2" fillId="0" borderId="0"/>
  </cellStyleXfs>
  <cellXfs count="333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Fill="1" applyAlignment="1">
      <alignment vertical="center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horizontal="left" vertical="center"/>
    </xf>
    <xf numFmtId="0" fontId="62" fillId="0" borderId="0" xfId="0" applyFont="1" applyFill="1" applyAlignment="1"/>
    <xf numFmtId="0" fontId="71" fillId="0" borderId="3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left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wrapText="1"/>
    </xf>
    <xf numFmtId="179" fontId="71" fillId="0" borderId="3" xfId="0" applyNumberFormat="1" applyFont="1" applyFill="1" applyBorder="1" applyAlignment="1">
      <alignment horizontal="center" vertical="center" wrapText="1"/>
    </xf>
    <xf numFmtId="171" fontId="71" fillId="0" borderId="3" xfId="0" applyNumberFormat="1" applyFont="1" applyFill="1" applyBorder="1" applyAlignment="1">
      <alignment horizontal="right" vertical="center" wrapText="1"/>
    </xf>
    <xf numFmtId="0" fontId="78" fillId="0" borderId="3" xfId="0" applyFont="1" applyFill="1" applyBorder="1" applyAlignment="1">
      <alignment horizontal="left" vertical="center" wrapText="1"/>
    </xf>
    <xf numFmtId="0" fontId="73" fillId="0" borderId="3" xfId="0" quotePrefix="1" applyFont="1" applyFill="1" applyBorder="1" applyAlignment="1">
      <alignment horizontal="center" vertical="center"/>
    </xf>
    <xf numFmtId="179" fontId="72" fillId="0" borderId="3" xfId="0" applyNumberFormat="1" applyFont="1" applyFill="1" applyBorder="1" applyAlignment="1">
      <alignment horizontal="right" vertical="center" wrapText="1"/>
    </xf>
    <xf numFmtId="179" fontId="72" fillId="0" borderId="3" xfId="0" applyNumberFormat="1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179" fontId="71" fillId="0" borderId="3" xfId="0" applyNumberFormat="1" applyFont="1" applyFill="1" applyBorder="1" applyAlignment="1">
      <alignment horizontal="right" vertical="center" wrapText="1"/>
    </xf>
    <xf numFmtId="179" fontId="73" fillId="0" borderId="3" xfId="0" applyNumberFormat="1" applyFont="1" applyFill="1" applyBorder="1" applyAlignment="1">
      <alignment horizontal="right" vertical="center" wrapText="1"/>
    </xf>
    <xf numFmtId="0" fontId="71" fillId="0" borderId="3" xfId="0" applyFont="1" applyFill="1" applyBorder="1" applyAlignment="1">
      <alignment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71" fillId="0" borderId="15" xfId="0" applyFont="1" applyFill="1" applyBorder="1" applyAlignment="1">
      <alignment horizontal="left" vertical="center" wrapText="1"/>
    </xf>
    <xf numFmtId="0" fontId="63" fillId="0" borderId="3" xfId="0" applyFont="1" applyFill="1" applyBorder="1" applyAlignment="1">
      <alignment horizontal="left" vertical="center" wrapText="1"/>
    </xf>
    <xf numFmtId="179" fontId="64" fillId="0" borderId="3" xfId="0" applyNumberFormat="1" applyFont="1" applyFill="1" applyBorder="1" applyAlignment="1">
      <alignment horizontal="center" vertical="center"/>
    </xf>
    <xf numFmtId="179" fontId="62" fillId="0" borderId="0" xfId="0" applyNumberFormat="1" applyFont="1" applyFill="1" applyBorder="1" applyAlignment="1">
      <alignment vertical="center"/>
    </xf>
    <xf numFmtId="180" fontId="62" fillId="0" borderId="0" xfId="0" applyNumberFormat="1" applyFont="1" applyFill="1" applyBorder="1" applyAlignment="1">
      <alignment vertical="center"/>
    </xf>
    <xf numFmtId="170" fontId="63" fillId="0" borderId="0" xfId="0" applyNumberFormat="1" applyFont="1" applyFill="1" applyBorder="1" applyAlignment="1">
      <alignment horizontal="center" vertical="center" wrapText="1"/>
    </xf>
    <xf numFmtId="170" fontId="64" fillId="0" borderId="0" xfId="0" applyNumberFormat="1" applyFont="1" applyFill="1" applyBorder="1" applyAlignment="1">
      <alignment horizontal="center" vertical="center"/>
    </xf>
    <xf numFmtId="170" fontId="64" fillId="0" borderId="13" xfId="0" applyNumberFormat="1" applyFont="1" applyFill="1" applyBorder="1" applyAlignment="1">
      <alignment horizontal="center" vertical="center"/>
    </xf>
    <xf numFmtId="0" fontId="69" fillId="0" borderId="0" xfId="0" applyFont="1" applyFill="1" applyAlignment="1">
      <alignment vertical="center"/>
    </xf>
    <xf numFmtId="0" fontId="83" fillId="0" borderId="0" xfId="0" applyFont="1" applyFill="1" applyBorder="1" applyAlignment="1">
      <alignment horizontal="left" vertical="center"/>
    </xf>
    <xf numFmtId="0" fontId="69" fillId="0" borderId="13" xfId="0" applyFont="1" applyFill="1" applyBorder="1" applyAlignment="1">
      <alignment horizontal="center" vertical="center"/>
    </xf>
    <xf numFmtId="0" fontId="69" fillId="29" borderId="0" xfId="0" applyFont="1" applyFill="1" applyAlignment="1">
      <alignment vertical="center"/>
    </xf>
    <xf numFmtId="0" fontId="69" fillId="0" borderId="3" xfId="0" applyFont="1" applyFill="1" applyBorder="1" applyAlignment="1">
      <alignment horizontal="center" vertical="center" wrapText="1"/>
    </xf>
    <xf numFmtId="179" fontId="83" fillId="0" borderId="3" xfId="0" applyNumberFormat="1" applyFont="1" applyFill="1" applyBorder="1" applyAlignment="1">
      <alignment vertical="center"/>
    </xf>
    <xf numFmtId="179" fontId="69" fillId="0" borderId="3" xfId="0" applyNumberFormat="1" applyFont="1" applyFill="1" applyBorder="1" applyAlignment="1">
      <alignment vertical="center"/>
    </xf>
    <xf numFmtId="179" fontId="69" fillId="0" borderId="3" xfId="0" applyNumberFormat="1" applyFont="1" applyFill="1" applyBorder="1" applyAlignment="1">
      <alignment horizontal="left" vertical="center" wrapText="1"/>
    </xf>
    <xf numFmtId="179" fontId="77" fillId="0" borderId="3" xfId="0" applyNumberFormat="1" applyFont="1" applyFill="1" applyBorder="1" applyAlignment="1">
      <alignment vertical="center"/>
    </xf>
    <xf numFmtId="0" fontId="69" fillId="0" borderId="0" xfId="0" applyFont="1" applyFill="1" applyAlignment="1"/>
    <xf numFmtId="0" fontId="69" fillId="29" borderId="0" xfId="0" applyFont="1" applyFill="1" applyAlignment="1">
      <alignment vertical="center" wrapText="1" shrinkToFit="1"/>
    </xf>
    <xf numFmtId="0" fontId="69" fillId="29" borderId="0" xfId="0" applyFont="1" applyFill="1" applyBorder="1" applyAlignment="1">
      <alignment vertical="center" wrapText="1" shrinkToFit="1"/>
    </xf>
    <xf numFmtId="0" fontId="69" fillId="0" borderId="0" xfId="0" applyFont="1" applyFill="1" applyBorder="1" applyAlignment="1">
      <alignment vertical="center" wrapText="1" shrinkToFit="1"/>
    </xf>
    <xf numFmtId="0" fontId="85" fillId="0" borderId="0" xfId="0" applyFont="1" applyFill="1" applyAlignment="1">
      <alignment vertical="center"/>
    </xf>
    <xf numFmtId="179" fontId="70" fillId="0" borderId="3" xfId="0" applyNumberFormat="1" applyFont="1" applyFill="1" applyBorder="1" applyAlignment="1">
      <alignment horizontal="right" vertical="center" wrapText="1"/>
    </xf>
    <xf numFmtId="178" fontId="75" fillId="0" borderId="3" xfId="0" applyNumberFormat="1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1" fontId="69" fillId="0" borderId="3" xfId="0" applyNumberFormat="1" applyFont="1" applyFill="1" applyBorder="1" applyAlignment="1">
      <alignment horizontal="center" vertical="center" wrapText="1"/>
    </xf>
    <xf numFmtId="179" fontId="73" fillId="0" borderId="3" xfId="0" applyNumberFormat="1" applyFont="1" applyFill="1" applyBorder="1" applyAlignment="1">
      <alignment vertical="center" wrapText="1"/>
    </xf>
    <xf numFmtId="179" fontId="63" fillId="0" borderId="3" xfId="0" applyNumberFormat="1" applyFont="1" applyFill="1" applyBorder="1" applyAlignment="1">
      <alignment vertical="center" wrapText="1"/>
    </xf>
    <xf numFmtId="0" fontId="71" fillId="0" borderId="13" xfId="0" applyFont="1" applyFill="1" applyBorder="1" applyAlignment="1">
      <alignment horizontal="center" vertical="center"/>
    </xf>
    <xf numFmtId="0" fontId="86" fillId="0" borderId="0" xfId="0" applyFont="1" applyFill="1" applyBorder="1" applyAlignment="1">
      <alignment horizontal="center"/>
    </xf>
    <xf numFmtId="178" fontId="72" fillId="0" borderId="3" xfId="0" applyNumberFormat="1" applyFont="1" applyFill="1" applyBorder="1" applyAlignment="1">
      <alignment horizontal="right" vertical="center" wrapText="1"/>
    </xf>
    <xf numFmtId="0" fontId="87" fillId="0" borderId="0" xfId="0" applyFont="1" applyFill="1" applyBorder="1" applyAlignment="1">
      <alignment horizontal="center" vertical="center"/>
    </xf>
    <xf numFmtId="0" fontId="87" fillId="0" borderId="0" xfId="0" applyFont="1" applyFill="1" applyBorder="1" applyAlignment="1">
      <alignment vertical="center"/>
    </xf>
    <xf numFmtId="170" fontId="87" fillId="0" borderId="0" xfId="0" applyNumberFormat="1" applyFont="1" applyFill="1" applyBorder="1" applyAlignment="1">
      <alignment vertical="center"/>
    </xf>
    <xf numFmtId="183" fontId="62" fillId="0" borderId="0" xfId="0" applyNumberFormat="1" applyFont="1" applyFill="1" applyBorder="1" applyAlignment="1">
      <alignment vertical="center"/>
    </xf>
    <xf numFmtId="0" fontId="69" fillId="0" borderId="13" xfId="0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0" fontId="83" fillId="0" borderId="3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center" vertical="center"/>
    </xf>
    <xf numFmtId="179" fontId="73" fillId="0" borderId="3" xfId="0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vertical="center"/>
    </xf>
    <xf numFmtId="0" fontId="76" fillId="0" borderId="0" xfId="0" applyFont="1" applyFill="1" applyAlignment="1">
      <alignment horizontal="left" vertical="center"/>
    </xf>
    <xf numFmtId="0" fontId="76" fillId="0" borderId="0" xfId="0" applyFont="1" applyFill="1" applyAlignment="1">
      <alignment horizontal="center" vertical="center"/>
    </xf>
    <xf numFmtId="0" fontId="91" fillId="0" borderId="0" xfId="0" applyFont="1" applyFill="1" applyAlignment="1">
      <alignment horizontal="center" vertical="center"/>
    </xf>
    <xf numFmtId="0" fontId="71" fillId="0" borderId="3" xfId="0" applyFont="1" applyFill="1" applyBorder="1" applyAlignment="1">
      <alignment horizontal="center" vertical="center" wrapText="1" shrinkToFit="1"/>
    </xf>
    <xf numFmtId="0" fontId="70" fillId="0" borderId="3" xfId="182" applyFont="1" applyFill="1" applyBorder="1" applyAlignment="1">
      <alignment vertical="center" wrapText="1"/>
      <protection locked="0"/>
    </xf>
    <xf numFmtId="0" fontId="70" fillId="0" borderId="3" xfId="0" applyFont="1" applyFill="1" applyBorder="1" applyAlignment="1">
      <alignment horizontal="center" vertical="center"/>
    </xf>
    <xf numFmtId="179" fontId="70" fillId="0" borderId="3" xfId="0" applyNumberFormat="1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left" vertical="center" wrapText="1"/>
    </xf>
    <xf numFmtId="179" fontId="89" fillId="0" borderId="3" xfId="0" applyNumberFormat="1" applyFont="1" applyFill="1" applyBorder="1" applyAlignment="1">
      <alignment horizontal="center" vertical="center" wrapText="1"/>
    </xf>
    <xf numFmtId="0" fontId="72" fillId="0" borderId="3" xfId="182" applyFont="1" applyFill="1" applyBorder="1" applyAlignment="1">
      <alignment vertical="center" wrapText="1"/>
      <protection locked="0"/>
    </xf>
    <xf numFmtId="179" fontId="70" fillId="0" borderId="3" xfId="0" applyNumberFormat="1" applyFont="1" applyFill="1" applyBorder="1" applyAlignment="1">
      <alignment vertical="center" wrapText="1"/>
    </xf>
    <xf numFmtId="179" fontId="90" fillId="0" borderId="3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left" vertical="center" wrapText="1"/>
    </xf>
    <xf numFmtId="0" fontId="70" fillId="0" borderId="3" xfId="245" applyFont="1" applyFill="1" applyBorder="1" applyAlignment="1">
      <alignment horizontal="left" vertical="center" wrapText="1"/>
    </xf>
    <xf numFmtId="0" fontId="72" fillId="0" borderId="3" xfId="245" applyFont="1" applyFill="1" applyBorder="1" applyAlignment="1">
      <alignment horizontal="left" vertical="center" wrapText="1"/>
    </xf>
    <xf numFmtId="0" fontId="70" fillId="0" borderId="3" xfId="0" applyFont="1" applyFill="1" applyBorder="1" applyAlignment="1" applyProtection="1">
      <alignment horizontal="left" vertical="center" wrapText="1"/>
      <protection locked="0"/>
    </xf>
    <xf numFmtId="49" fontId="70" fillId="0" borderId="3" xfId="0" applyNumberFormat="1" applyFont="1" applyFill="1" applyBorder="1" applyAlignment="1">
      <alignment horizontal="center" vertical="center"/>
    </xf>
    <xf numFmtId="178" fontId="70" fillId="0" borderId="3" xfId="0" applyNumberFormat="1" applyFont="1" applyFill="1" applyBorder="1" applyAlignment="1">
      <alignment horizontal="center" vertical="center" wrapText="1"/>
    </xf>
    <xf numFmtId="178" fontId="70" fillId="0" borderId="3" xfId="0" applyNumberFormat="1" applyFont="1" applyFill="1" applyBorder="1" applyAlignment="1">
      <alignment horizontal="right" vertical="center" wrapText="1"/>
    </xf>
    <xf numFmtId="178" fontId="72" fillId="0" borderId="3" xfId="0" applyNumberFormat="1" applyFont="1" applyFill="1" applyBorder="1" applyAlignment="1">
      <alignment horizontal="center" vertical="center" wrapText="1"/>
    </xf>
    <xf numFmtId="0" fontId="93" fillId="0" borderId="0" xfId="0" applyFont="1" applyFill="1" applyBorder="1" applyAlignment="1">
      <alignment horizontal="center" wrapText="1"/>
    </xf>
    <xf numFmtId="0" fontId="72" fillId="0" borderId="0" xfId="0" quotePrefix="1" applyFont="1" applyFill="1" applyBorder="1" applyAlignment="1">
      <alignment horizontal="center" vertical="center"/>
    </xf>
    <xf numFmtId="171" fontId="92" fillId="0" borderId="0" xfId="0" applyNumberFormat="1" applyFont="1" applyFill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2" fillId="0" borderId="0" xfId="0" applyFont="1" applyFill="1" applyAlignment="1">
      <alignment horizontal="left" vertical="center"/>
    </xf>
    <xf numFmtId="179" fontId="81" fillId="0" borderId="0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center" vertical="center" wrapText="1"/>
    </xf>
    <xf numFmtId="171" fontId="72" fillId="0" borderId="0" xfId="0" applyNumberFormat="1" applyFont="1" applyFill="1" applyBorder="1" applyAlignment="1">
      <alignment wrapText="1"/>
    </xf>
    <xf numFmtId="179" fontId="94" fillId="0" borderId="3" xfId="0" applyNumberFormat="1" applyFont="1" applyFill="1" applyBorder="1" applyAlignment="1">
      <alignment horizontal="center" vertical="center" wrapText="1"/>
    </xf>
    <xf numFmtId="179" fontId="95" fillId="0" borderId="3" xfId="0" applyNumberFormat="1" applyFont="1" applyFill="1" applyBorder="1" applyAlignment="1">
      <alignment horizontal="center" vertical="center" wrapText="1"/>
    </xf>
    <xf numFmtId="0" fontId="96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/>
    </xf>
    <xf numFmtId="0" fontId="74" fillId="0" borderId="0" xfId="0" applyFont="1" applyFill="1" applyBorder="1" applyAlignment="1">
      <alignment horizontal="center" vertical="center"/>
    </xf>
    <xf numFmtId="179" fontId="99" fillId="0" borderId="3" xfId="0" applyNumberFormat="1" applyFont="1" applyFill="1" applyBorder="1" applyAlignment="1">
      <alignment horizontal="center" vertical="center"/>
    </xf>
    <xf numFmtId="179" fontId="100" fillId="0" borderId="3" xfId="0" applyNumberFormat="1" applyFont="1" applyFill="1" applyBorder="1" applyAlignment="1">
      <alignment vertical="center"/>
    </xf>
    <xf numFmtId="0" fontId="84" fillId="0" borderId="0" xfId="0" applyFont="1" applyFill="1" applyBorder="1" applyAlignment="1"/>
    <xf numFmtId="4" fontId="71" fillId="0" borderId="3" xfId="0" applyNumberFormat="1" applyFont="1" applyFill="1" applyBorder="1" applyAlignment="1">
      <alignment horizontal="left" vertical="center" wrapText="1"/>
    </xf>
    <xf numFmtId="49" fontId="73" fillId="0" borderId="3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vertical="center"/>
    </xf>
    <xf numFmtId="1" fontId="71" fillId="0" borderId="0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3" fillId="0" borderId="3" xfId="182" applyFont="1" applyFill="1" applyBorder="1" applyAlignment="1">
      <alignment vertical="center" wrapText="1"/>
      <protection locked="0"/>
    </xf>
    <xf numFmtId="0" fontId="64" fillId="0" borderId="3" xfId="0" applyFont="1" applyFill="1" applyBorder="1" applyAlignment="1">
      <alignment horizontal="center" vertical="center" wrapText="1" shrinkToFit="1"/>
    </xf>
    <xf numFmtId="179" fontId="62" fillId="0" borderId="3" xfId="0" applyNumberFormat="1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179" fontId="70" fillId="0" borderId="3" xfId="0" applyNumberFormat="1" applyFont="1" applyFill="1" applyBorder="1" applyAlignment="1">
      <alignment vertical="center"/>
    </xf>
    <xf numFmtId="0" fontId="72" fillId="0" borderId="0" xfId="0" applyFont="1" applyFill="1" applyAlignment="1">
      <alignment vertical="center"/>
    </xf>
    <xf numFmtId="182" fontId="70" fillId="0" borderId="3" xfId="0" applyNumberFormat="1" applyFont="1" applyFill="1" applyBorder="1" applyAlignment="1">
      <alignment horizontal="right" vertical="center" wrapText="1"/>
    </xf>
    <xf numFmtId="178" fontId="62" fillId="0" borderId="3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vertical="center" wrapText="1"/>
    </xf>
    <xf numFmtId="1" fontId="73" fillId="0" borderId="0" xfId="0" applyNumberFormat="1" applyFont="1" applyFill="1" applyBorder="1" applyAlignment="1">
      <alignment vertical="center"/>
    </xf>
    <xf numFmtId="170" fontId="73" fillId="0" borderId="0" xfId="0" applyNumberFormat="1" applyFont="1" applyFill="1" applyBorder="1" applyAlignment="1">
      <alignment vertical="center"/>
    </xf>
    <xf numFmtId="183" fontId="73" fillId="0" borderId="0" xfId="0" applyNumberFormat="1" applyFont="1" applyFill="1" applyBorder="1" applyAlignment="1">
      <alignment vertical="center"/>
    </xf>
    <xf numFmtId="179" fontId="73" fillId="0" borderId="0" xfId="0" applyNumberFormat="1" applyFont="1" applyFill="1" applyBorder="1" applyAlignment="1">
      <alignment vertical="center"/>
    </xf>
    <xf numFmtId="0" fontId="81" fillId="0" borderId="3" xfId="0" applyFont="1" applyFill="1" applyBorder="1" applyAlignment="1">
      <alignment horizontal="left" vertical="center" wrapText="1"/>
    </xf>
    <xf numFmtId="0" fontId="71" fillId="0" borderId="3" xfId="0" applyFont="1" applyFill="1" applyBorder="1" applyAlignment="1">
      <alignment horizontal="right" vertical="center" wrapText="1"/>
    </xf>
    <xf numFmtId="49" fontId="78" fillId="0" borderId="3" xfId="0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center" vertical="center" wrapText="1"/>
    </xf>
    <xf numFmtId="179" fontId="78" fillId="0" borderId="3" xfId="0" applyNumberFormat="1" applyFont="1" applyFill="1" applyBorder="1" applyAlignment="1">
      <alignment horizontal="right" vertical="center" wrapText="1"/>
    </xf>
    <xf numFmtId="179" fontId="78" fillId="0" borderId="3" xfId="0" applyNumberFormat="1" applyFont="1" applyFill="1" applyBorder="1" applyAlignment="1">
      <alignment horizontal="center" vertical="center" wrapText="1"/>
    </xf>
    <xf numFmtId="49" fontId="81" fillId="0" borderId="3" xfId="0" applyNumberFormat="1" applyFont="1" applyFill="1" applyBorder="1" applyAlignment="1">
      <alignment horizontal="center" vertical="center" wrapText="1"/>
    </xf>
    <xf numFmtId="49" fontId="71" fillId="0" borderId="3" xfId="0" applyNumberFormat="1" applyFont="1" applyFill="1" applyBorder="1" applyAlignment="1">
      <alignment horizontal="center" vertical="center" wrapText="1"/>
    </xf>
    <xf numFmtId="171" fontId="71" fillId="0" borderId="3" xfId="0" applyNumberFormat="1" applyFont="1" applyFill="1" applyBorder="1" applyAlignment="1">
      <alignment horizontal="right" vertical="center" wrapText="1" shrinkToFit="1"/>
    </xf>
    <xf numFmtId="1" fontId="73" fillId="0" borderId="0" xfId="0" applyNumberFormat="1" applyFont="1" applyFill="1" applyBorder="1" applyAlignment="1">
      <alignment horizontal="right" vertical="center"/>
    </xf>
    <xf numFmtId="179" fontId="71" fillId="0" borderId="0" xfId="0" applyNumberFormat="1" applyFont="1" applyFill="1" applyBorder="1" applyAlignment="1">
      <alignment vertical="center"/>
    </xf>
    <xf numFmtId="171" fontId="71" fillId="0" borderId="0" xfId="0" applyNumberFormat="1" applyFont="1" applyFill="1" applyBorder="1" applyAlignment="1">
      <alignment horizontal="left" vertical="center"/>
    </xf>
    <xf numFmtId="171" fontId="73" fillId="0" borderId="0" xfId="0" applyNumberFormat="1" applyFont="1" applyFill="1" applyBorder="1" applyAlignment="1">
      <alignment vertical="center"/>
    </xf>
    <xf numFmtId="170" fontId="71" fillId="0" borderId="0" xfId="0" applyNumberFormat="1" applyFont="1" applyFill="1" applyBorder="1" applyAlignment="1">
      <alignment horizontal="left" vertical="top"/>
    </xf>
    <xf numFmtId="179" fontId="81" fillId="0" borderId="3" xfId="0" applyNumberFormat="1" applyFont="1" applyFill="1" applyBorder="1" applyAlignment="1">
      <alignment horizontal="right" vertical="center" wrapText="1"/>
    </xf>
    <xf numFmtId="183" fontId="71" fillId="0" borderId="0" xfId="0" applyNumberFormat="1" applyFont="1" applyFill="1" applyBorder="1" applyAlignment="1">
      <alignment vertical="center"/>
    </xf>
    <xf numFmtId="0" fontId="81" fillId="0" borderId="3" xfId="0" applyFont="1" applyFill="1" applyBorder="1" applyAlignment="1">
      <alignment horizontal="center" vertical="center" wrapText="1"/>
    </xf>
    <xf numFmtId="179" fontId="81" fillId="0" borderId="3" xfId="0" applyNumberFormat="1" applyFont="1" applyFill="1" applyBorder="1" applyAlignment="1">
      <alignment horizontal="center" vertical="center" wrapText="1"/>
    </xf>
    <xf numFmtId="164" fontId="71" fillId="0" borderId="0" xfId="0" applyNumberFormat="1" applyFont="1" applyFill="1" applyBorder="1" applyAlignment="1">
      <alignment vertical="center"/>
    </xf>
    <xf numFmtId="0" fontId="71" fillId="0" borderId="0" xfId="0" applyNumberFormat="1" applyFont="1" applyFill="1" applyBorder="1" applyAlignment="1">
      <alignment vertical="center"/>
    </xf>
    <xf numFmtId="0" fontId="71" fillId="0" borderId="3" xfId="353" applyFont="1" applyFill="1" applyBorder="1" applyAlignment="1">
      <alignment horizontal="left" vertical="center" wrapText="1"/>
    </xf>
    <xf numFmtId="181" fontId="71" fillId="0" borderId="3" xfId="353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vertical="center" wrapText="1"/>
    </xf>
    <xf numFmtId="179" fontId="71" fillId="0" borderId="3" xfId="0" applyNumberFormat="1" applyFont="1" applyFill="1" applyBorder="1" applyAlignment="1">
      <alignment horizontal="right" vertical="center" wrapText="1" shrinkToFit="1"/>
    </xf>
    <xf numFmtId="0" fontId="81" fillId="0" borderId="3" xfId="0" applyFont="1" applyFill="1" applyBorder="1" applyAlignment="1">
      <alignment vertical="center" wrapText="1"/>
    </xf>
    <xf numFmtId="0" fontId="78" fillId="0" borderId="3" xfId="182" applyFont="1" applyFill="1" applyBorder="1" applyAlignment="1">
      <alignment vertical="center" wrapText="1"/>
      <protection locked="0"/>
    </xf>
    <xf numFmtId="0" fontId="81" fillId="0" borderId="17" xfId="0" applyFont="1" applyFill="1" applyBorder="1" applyAlignment="1">
      <alignment horizontal="center" vertical="center" wrapText="1"/>
    </xf>
    <xf numFmtId="179" fontId="78" fillId="0" borderId="3" xfId="0" applyNumberFormat="1" applyFont="1" applyFill="1" applyBorder="1" applyAlignment="1">
      <alignment vertical="center" wrapText="1"/>
    </xf>
    <xf numFmtId="179" fontId="81" fillId="0" borderId="3" xfId="0" applyNumberFormat="1" applyFont="1" applyFill="1" applyBorder="1" applyAlignment="1">
      <alignment vertical="center" wrapText="1"/>
    </xf>
    <xf numFmtId="0" fontId="81" fillId="0" borderId="16" xfId="0" applyFont="1" applyFill="1" applyBorder="1" applyAlignment="1">
      <alignment horizontal="left" vertical="center" wrapText="1"/>
    </xf>
    <xf numFmtId="179" fontId="81" fillId="0" borderId="15" xfId="0" applyNumberFormat="1" applyFont="1" applyFill="1" applyBorder="1" applyAlignment="1">
      <alignment horizontal="right" vertical="center" wrapText="1"/>
    </xf>
    <xf numFmtId="0" fontId="81" fillId="0" borderId="3" xfId="0" applyFont="1" applyFill="1" applyBorder="1" applyAlignment="1">
      <alignment horizontal="left" wrapText="1"/>
    </xf>
    <xf numFmtId="0" fontId="64" fillId="0" borderId="3" xfId="0" applyFont="1" applyFill="1" applyBorder="1" applyAlignment="1">
      <alignment horizontal="left" vertical="center" wrapText="1"/>
    </xf>
    <xf numFmtId="1" fontId="81" fillId="0" borderId="0" xfId="0" applyNumberFormat="1" applyFont="1" applyFill="1" applyBorder="1" applyAlignment="1">
      <alignment horizontal="left" vertical="center" wrapText="1"/>
    </xf>
    <xf numFmtId="171" fontId="71" fillId="0" borderId="0" xfId="0" applyNumberFormat="1" applyFont="1" applyFill="1" applyBorder="1" applyAlignment="1">
      <alignment horizontal="left" wrapText="1"/>
    </xf>
    <xf numFmtId="0" fontId="71" fillId="0" borderId="0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left" vertical="center" wrapText="1"/>
    </xf>
    <xf numFmtId="171" fontId="71" fillId="0" borderId="0" xfId="0" applyNumberFormat="1" applyFont="1" applyFill="1" applyBorder="1" applyAlignment="1">
      <alignment horizontal="center" vertical="center"/>
    </xf>
    <xf numFmtId="171" fontId="81" fillId="0" borderId="3" xfId="0" applyNumberFormat="1" applyFont="1" applyFill="1" applyBorder="1" applyAlignment="1">
      <alignment horizontal="right" vertical="center" wrapText="1"/>
    </xf>
    <xf numFmtId="0" fontId="71" fillId="29" borderId="3" xfId="0" applyFont="1" applyFill="1" applyBorder="1" applyAlignment="1">
      <alignment horizontal="center" vertical="center" wrapText="1"/>
    </xf>
    <xf numFmtId="179" fontId="73" fillId="29" borderId="3" xfId="0" applyNumberFormat="1" applyFont="1" applyFill="1" applyBorder="1" applyAlignment="1">
      <alignment horizontal="right" vertical="center" wrapText="1"/>
    </xf>
    <xf numFmtId="49" fontId="64" fillId="0" borderId="3" xfId="0" applyNumberFormat="1" applyFont="1" applyFill="1" applyBorder="1" applyAlignment="1">
      <alignment horizontal="center" vertical="center" wrapText="1"/>
    </xf>
    <xf numFmtId="49" fontId="80" fillId="0" borderId="3" xfId="0" applyNumberFormat="1" applyFont="1" applyFill="1" applyBorder="1" applyAlignment="1">
      <alignment horizontal="center" vertical="center" wrapText="1"/>
    </xf>
    <xf numFmtId="171" fontId="78" fillId="0" borderId="3" xfId="0" applyNumberFormat="1" applyFont="1" applyFill="1" applyBorder="1" applyAlignment="1">
      <alignment horizontal="right" vertical="center" wrapText="1"/>
    </xf>
    <xf numFmtId="49" fontId="102" fillId="0" borderId="3" xfId="0" applyNumberFormat="1" applyFont="1" applyFill="1" applyBorder="1" applyAlignment="1">
      <alignment horizontal="center" vertical="center" wrapText="1"/>
    </xf>
    <xf numFmtId="179" fontId="99" fillId="0" borderId="3" xfId="0" applyNumberFormat="1" applyFont="1" applyFill="1" applyBorder="1" applyAlignment="1">
      <alignment horizontal="center" vertical="center" wrapText="1"/>
    </xf>
    <xf numFmtId="179" fontId="103" fillId="0" borderId="3" xfId="0" applyNumberFormat="1" applyFont="1" applyFill="1" applyBorder="1" applyAlignment="1">
      <alignment horizontal="center" vertical="center" wrapText="1"/>
    </xf>
    <xf numFmtId="179" fontId="102" fillId="0" borderId="3" xfId="0" applyNumberFormat="1" applyFont="1" applyFill="1" applyBorder="1" applyAlignment="1">
      <alignment horizontal="center" vertical="center" wrapText="1"/>
    </xf>
    <xf numFmtId="179" fontId="97" fillId="0" borderId="3" xfId="0" applyNumberFormat="1" applyFont="1" applyFill="1" applyBorder="1" applyAlignment="1">
      <alignment horizontal="center" vertical="center" wrapText="1"/>
    </xf>
    <xf numFmtId="179" fontId="98" fillId="0" borderId="3" xfId="0" applyNumberFormat="1" applyFont="1" applyFill="1" applyBorder="1" applyAlignment="1">
      <alignment horizontal="center" vertical="center" wrapText="1"/>
    </xf>
    <xf numFmtId="0" fontId="81" fillId="0" borderId="3" xfId="0" applyFont="1" applyFill="1" applyBorder="1" applyAlignment="1">
      <alignment horizontal="left" vertical="top" wrapText="1"/>
    </xf>
    <xf numFmtId="170" fontId="71" fillId="0" borderId="0" xfId="0" applyNumberFormat="1" applyFont="1" applyFill="1" applyBorder="1" applyAlignment="1">
      <alignment vertical="center"/>
    </xf>
    <xf numFmtId="170" fontId="73" fillId="0" borderId="0" xfId="0" applyNumberFormat="1" applyFont="1" applyFill="1" applyBorder="1" applyAlignment="1">
      <alignment horizontal="center" vertical="center"/>
    </xf>
    <xf numFmtId="170" fontId="71" fillId="0" borderId="0" xfId="0" applyNumberFormat="1" applyFont="1" applyFill="1" applyBorder="1" applyAlignment="1">
      <alignment horizontal="center" vertical="center"/>
    </xf>
    <xf numFmtId="170" fontId="81" fillId="0" borderId="0" xfId="0" applyNumberFormat="1" applyFont="1" applyFill="1" applyBorder="1" applyAlignment="1">
      <alignment horizontal="center" vertical="center" wrapText="1"/>
    </xf>
    <xf numFmtId="170" fontId="71" fillId="0" borderId="0" xfId="0" applyNumberFormat="1" applyFont="1" applyFill="1" applyBorder="1" applyAlignment="1">
      <alignment horizontal="right" vertical="center"/>
    </xf>
    <xf numFmtId="0" fontId="63" fillId="0" borderId="3" xfId="0" applyFont="1" applyFill="1" applyBorder="1" applyAlignment="1">
      <alignment horizontal="center" vertical="center" wrapText="1"/>
    </xf>
    <xf numFmtId="171" fontId="73" fillId="29" borderId="3" xfId="0" applyNumberFormat="1" applyFont="1" applyFill="1" applyBorder="1" applyAlignment="1">
      <alignment horizontal="right" vertical="center" wrapText="1"/>
    </xf>
    <xf numFmtId="179" fontId="72" fillId="29" borderId="3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vertical="center"/>
    </xf>
    <xf numFmtId="171" fontId="71" fillId="29" borderId="0" xfId="0" applyNumberFormat="1" applyFont="1" applyFill="1" applyBorder="1" applyAlignment="1">
      <alignment horizontal="right" vertical="center" wrapText="1"/>
    </xf>
    <xf numFmtId="0" fontId="64" fillId="29" borderId="0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vertical="center"/>
    </xf>
    <xf numFmtId="0" fontId="71" fillId="29" borderId="17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 wrapText="1"/>
    </xf>
    <xf numFmtId="0" fontId="64" fillId="29" borderId="17" xfId="0" applyFont="1" applyFill="1" applyBorder="1" applyAlignment="1">
      <alignment horizontal="center" vertical="center" wrapText="1"/>
    </xf>
    <xf numFmtId="0" fontId="71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/>
    </xf>
    <xf numFmtId="180" fontId="73" fillId="29" borderId="3" xfId="0" applyNumberFormat="1" applyFont="1" applyFill="1" applyBorder="1" applyAlignment="1">
      <alignment horizontal="right" vertical="center" wrapText="1"/>
    </xf>
    <xf numFmtId="179" fontId="63" fillId="29" borderId="3" xfId="0" applyNumberFormat="1" applyFont="1" applyFill="1" applyBorder="1" applyAlignment="1">
      <alignment horizontal="center" vertical="center"/>
    </xf>
    <xf numFmtId="171" fontId="64" fillId="29" borderId="0" xfId="0" applyNumberFormat="1" applyFont="1" applyFill="1" applyBorder="1" applyAlignment="1">
      <alignment vertical="center"/>
    </xf>
    <xf numFmtId="0" fontId="73" fillId="29" borderId="3" xfId="0" applyFont="1" applyFill="1" applyBorder="1" applyAlignment="1">
      <alignment horizontal="center" vertical="center" wrapText="1"/>
    </xf>
    <xf numFmtId="0" fontId="71" fillId="29" borderId="3" xfId="0" applyFont="1" applyFill="1" applyBorder="1" applyAlignment="1">
      <alignment horizontal="left" vertical="center" wrapText="1"/>
    </xf>
    <xf numFmtId="171" fontId="71" fillId="29" borderId="3" xfId="0" applyNumberFormat="1" applyFont="1" applyFill="1" applyBorder="1" applyAlignment="1">
      <alignment horizontal="right" vertical="center" wrapText="1"/>
    </xf>
    <xf numFmtId="182" fontId="71" fillId="29" borderId="3" xfId="0" applyNumberFormat="1" applyFont="1" applyFill="1" applyBorder="1" applyAlignment="1">
      <alignment horizontal="right" vertical="center" wrapText="1"/>
    </xf>
    <xf numFmtId="179" fontId="64" fillId="29" borderId="3" xfId="0" applyNumberFormat="1" applyFont="1" applyFill="1" applyBorder="1" applyAlignment="1">
      <alignment horizontal="center" vertical="center"/>
    </xf>
    <xf numFmtId="0" fontId="71" fillId="29" borderId="15" xfId="0" applyFont="1" applyFill="1" applyBorder="1" applyAlignment="1">
      <alignment horizontal="center" vertical="center"/>
    </xf>
    <xf numFmtId="179" fontId="97" fillId="29" borderId="3" xfId="0" applyNumberFormat="1" applyFont="1" applyFill="1" applyBorder="1" applyAlignment="1">
      <alignment horizontal="center" vertical="center"/>
    </xf>
    <xf numFmtId="0" fontId="71" fillId="29" borderId="3" xfId="0" applyFont="1" applyFill="1" applyBorder="1" applyAlignment="1">
      <alignment vertical="center" wrapText="1"/>
    </xf>
    <xf numFmtId="0" fontId="64" fillId="29" borderId="16" xfId="0" applyFont="1" applyFill="1" applyBorder="1" applyAlignment="1">
      <alignment horizontal="left" vertical="center" wrapText="1"/>
    </xf>
    <xf numFmtId="179" fontId="99" fillId="29" borderId="3" xfId="0" applyNumberFormat="1" applyFont="1" applyFill="1" applyBorder="1" applyAlignment="1">
      <alignment horizontal="center" vertical="center"/>
    </xf>
    <xf numFmtId="182" fontId="71" fillId="29" borderId="3" xfId="0" applyNumberFormat="1" applyFont="1" applyFill="1" applyBorder="1" applyAlignment="1">
      <alignment horizontal="right" vertical="center"/>
    </xf>
    <xf numFmtId="0" fontId="88" fillId="29" borderId="0" xfId="0" applyFont="1" applyFill="1" applyBorder="1" applyAlignment="1">
      <alignment vertical="center"/>
    </xf>
    <xf numFmtId="0" fontId="71" fillId="29" borderId="3" xfId="0" applyFont="1" applyFill="1" applyBorder="1" applyAlignment="1">
      <alignment horizontal="left" wrapText="1"/>
    </xf>
    <xf numFmtId="0" fontId="73" fillId="29" borderId="3" xfId="0" applyFont="1" applyFill="1" applyBorder="1" applyAlignment="1">
      <alignment horizontal="right" vertical="center" wrapText="1"/>
    </xf>
    <xf numFmtId="0" fontId="71" fillId="29" borderId="15" xfId="0" applyFont="1" applyFill="1" applyBorder="1" applyAlignment="1">
      <alignment vertical="center"/>
    </xf>
    <xf numFmtId="0" fontId="71" fillId="29" borderId="3" xfId="0" applyFont="1" applyFill="1" applyBorder="1" applyAlignment="1">
      <alignment horizontal="right" vertical="center"/>
    </xf>
    <xf numFmtId="182" fontId="71" fillId="29" borderId="3" xfId="0" applyNumberFormat="1" applyFont="1" applyFill="1" applyBorder="1" applyAlignment="1">
      <alignment horizontal="right" vertical="center" wrapText="1" shrinkToFit="1"/>
    </xf>
    <xf numFmtId="179" fontId="71" fillId="29" borderId="3" xfId="0" applyNumberFormat="1" applyFont="1" applyFill="1" applyBorder="1" applyAlignment="1">
      <alignment horizontal="right" vertical="center" wrapText="1"/>
    </xf>
    <xf numFmtId="0" fontId="73" fillId="29" borderId="3" xfId="0" applyFont="1" applyFill="1" applyBorder="1" applyAlignment="1">
      <alignment horizontal="center" vertical="center"/>
    </xf>
    <xf numFmtId="0" fontId="71" fillId="29" borderId="15" xfId="0" applyFont="1" applyFill="1" applyBorder="1" applyAlignment="1">
      <alignment horizontal="left" vertical="center" wrapText="1"/>
    </xf>
    <xf numFmtId="0" fontId="71" fillId="29" borderId="3" xfId="0" applyFont="1" applyFill="1" applyBorder="1" applyAlignment="1">
      <alignment vertical="center"/>
    </xf>
    <xf numFmtId="0" fontId="82" fillId="29" borderId="3" xfId="0" applyFont="1" applyFill="1" applyBorder="1" applyAlignment="1">
      <alignment horizontal="left" vertical="center" wrapText="1"/>
    </xf>
    <xf numFmtId="0" fontId="71" fillId="29" borderId="3" xfId="0" applyFont="1" applyFill="1" applyBorder="1" applyAlignment="1">
      <alignment horizontal="center"/>
    </xf>
    <xf numFmtId="0" fontId="64" fillId="29" borderId="3" xfId="0" applyFont="1" applyFill="1" applyBorder="1" applyAlignment="1">
      <alignment horizontal="left" vertical="center" wrapText="1"/>
    </xf>
    <xf numFmtId="0" fontId="73" fillId="29" borderId="3" xfId="0" quotePrefix="1" applyFont="1" applyFill="1" applyBorder="1" applyAlignment="1">
      <alignment horizontal="center" vertical="center"/>
    </xf>
    <xf numFmtId="171" fontId="73" fillId="29" borderId="3" xfId="0" applyNumberFormat="1" applyFont="1" applyFill="1" applyBorder="1" applyAlignment="1">
      <alignment horizontal="right" vertical="center" wrapText="1" shrinkToFit="1"/>
    </xf>
    <xf numFmtId="0" fontId="73" fillId="29" borderId="3" xfId="0" applyFont="1" applyFill="1" applyBorder="1" applyAlignment="1">
      <alignment vertical="center" wrapText="1"/>
    </xf>
    <xf numFmtId="0" fontId="73" fillId="29" borderId="3" xfId="0" applyFont="1" applyFill="1" applyBorder="1" applyAlignment="1">
      <alignment vertical="center"/>
    </xf>
    <xf numFmtId="0" fontId="71" fillId="29" borderId="15" xfId="0" applyFont="1" applyFill="1" applyBorder="1" applyAlignment="1">
      <alignment vertical="center" wrapText="1"/>
    </xf>
    <xf numFmtId="0" fontId="71" fillId="29" borderId="18" xfId="0" applyFont="1" applyFill="1" applyBorder="1" applyAlignment="1">
      <alignment horizontal="center"/>
    </xf>
    <xf numFmtId="0" fontId="64" fillId="29" borderId="0" xfId="0" applyFont="1" applyFill="1" applyBorder="1" applyAlignment="1">
      <alignment vertical="center" wrapText="1"/>
    </xf>
    <xf numFmtId="0" fontId="64" fillId="29" borderId="0" xfId="0" applyFont="1" applyFill="1" applyBorder="1" applyAlignment="1">
      <alignment horizontal="center" vertical="center"/>
    </xf>
    <xf numFmtId="171" fontId="81" fillId="0" borderId="3" xfId="0" applyNumberFormat="1" applyFont="1" applyFill="1" applyBorder="1" applyAlignment="1">
      <alignment horizontal="right" vertical="center" wrapText="1" shrinkToFit="1"/>
    </xf>
    <xf numFmtId="179" fontId="81" fillId="0" borderId="3" xfId="0" applyNumberFormat="1" applyFont="1" applyFill="1" applyBorder="1" applyAlignment="1">
      <alignment horizontal="right" vertical="center" wrapText="1" shrinkToFit="1"/>
    </xf>
    <xf numFmtId="171" fontId="102" fillId="0" borderId="3" xfId="0" applyNumberFormat="1" applyFont="1" applyFill="1" applyBorder="1" applyAlignment="1">
      <alignment horizontal="right" wrapText="1"/>
    </xf>
    <xf numFmtId="171" fontId="102" fillId="0" borderId="3" xfId="0" applyNumberFormat="1" applyFont="1" applyFill="1" applyBorder="1" applyAlignment="1">
      <alignment horizontal="right" vertical="center" wrapText="1"/>
    </xf>
    <xf numFmtId="179" fontId="80" fillId="0" borderId="3" xfId="0" applyNumberFormat="1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left" vertical="center" wrapText="1"/>
    </xf>
    <xf numFmtId="179" fontId="85" fillId="0" borderId="3" xfId="0" applyNumberFormat="1" applyFont="1" applyFill="1" applyBorder="1" applyAlignment="1">
      <alignment horizontal="left" vertical="center" wrapText="1"/>
    </xf>
    <xf numFmtId="179" fontId="63" fillId="0" borderId="3" xfId="0" applyNumberFormat="1" applyFont="1" applyFill="1" applyBorder="1" applyAlignment="1">
      <alignment vertical="center"/>
    </xf>
    <xf numFmtId="179" fontId="80" fillId="0" borderId="3" xfId="0" applyNumberFormat="1" applyFont="1" applyFill="1" applyBorder="1" applyAlignment="1">
      <alignment vertical="center"/>
    </xf>
    <xf numFmtId="179" fontId="80" fillId="0" borderId="3" xfId="0" applyNumberFormat="1" applyFont="1" applyFill="1" applyBorder="1" applyAlignment="1">
      <alignment horizontal="center" vertical="center"/>
    </xf>
    <xf numFmtId="0" fontId="78" fillId="0" borderId="3" xfId="0" quotePrefix="1" applyFont="1" applyFill="1" applyBorder="1" applyAlignment="1">
      <alignment horizontal="center" vertical="center"/>
    </xf>
    <xf numFmtId="179" fontId="103" fillId="0" borderId="3" xfId="0" applyNumberFormat="1" applyFont="1" applyFill="1" applyBorder="1" applyAlignment="1">
      <alignment horizontal="center" vertical="center"/>
    </xf>
    <xf numFmtId="179" fontId="64" fillId="0" borderId="3" xfId="0" applyNumberFormat="1" applyFont="1" applyFill="1" applyBorder="1" applyAlignment="1">
      <alignment horizontal="left" vertical="center" wrapText="1"/>
    </xf>
    <xf numFmtId="170" fontId="78" fillId="0" borderId="3" xfId="0" applyNumberFormat="1" applyFont="1" applyFill="1" applyBorder="1" applyAlignment="1">
      <alignment vertical="center" wrapText="1"/>
    </xf>
    <xf numFmtId="179" fontId="80" fillId="0" borderId="3" xfId="0" applyNumberFormat="1" applyFont="1" applyFill="1" applyBorder="1" applyAlignment="1">
      <alignment vertical="center" wrapText="1"/>
    </xf>
    <xf numFmtId="0" fontId="73" fillId="0" borderId="3" xfId="0" applyFont="1" applyFill="1" applyBorder="1" applyAlignment="1">
      <alignment vertical="center" wrapText="1"/>
    </xf>
    <xf numFmtId="0" fontId="73" fillId="0" borderId="3" xfId="0" applyFont="1" applyFill="1" applyBorder="1" applyAlignment="1">
      <alignment horizontal="right" vertical="center" wrapText="1"/>
    </xf>
    <xf numFmtId="171" fontId="64" fillId="0" borderId="3" xfId="0" applyNumberFormat="1" applyFont="1" applyFill="1" applyBorder="1" applyAlignment="1">
      <alignment horizontal="right" wrapText="1"/>
    </xf>
    <xf numFmtId="49" fontId="63" fillId="0" borderId="3" xfId="0" applyNumberFormat="1" applyFont="1" applyFill="1" applyBorder="1" applyAlignment="1">
      <alignment horizontal="center" vertical="center" wrapText="1"/>
    </xf>
    <xf numFmtId="171" fontId="73" fillId="0" borderId="3" xfId="0" applyNumberFormat="1" applyFont="1" applyFill="1" applyBorder="1" applyAlignment="1">
      <alignment horizontal="right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73" fillId="0" borderId="16" xfId="0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horizontal="left" wrapText="1"/>
    </xf>
    <xf numFmtId="0" fontId="72" fillId="0" borderId="0" xfId="0" applyFont="1" applyFill="1" applyAlignment="1">
      <alignment horizontal="center" vertical="center"/>
    </xf>
    <xf numFmtId="0" fontId="70" fillId="0" borderId="13" xfId="0" applyFont="1" applyFill="1" applyBorder="1" applyAlignment="1">
      <alignment horizontal="center"/>
    </xf>
    <xf numFmtId="0" fontId="75" fillId="0" borderId="15" xfId="0" applyFont="1" applyFill="1" applyBorder="1" applyAlignment="1">
      <alignment horizontal="center" vertical="center"/>
    </xf>
    <xf numFmtId="0" fontId="75" fillId="0" borderId="14" xfId="0" applyFont="1" applyFill="1" applyBorder="1" applyAlignment="1">
      <alignment horizontal="center" vertical="center"/>
    </xf>
    <xf numFmtId="0" fontId="75" fillId="0" borderId="16" xfId="0" applyFont="1" applyFill="1" applyBorder="1" applyAlignment="1">
      <alignment horizontal="center" vertical="center"/>
    </xf>
    <xf numFmtId="0" fontId="72" fillId="0" borderId="15" xfId="0" applyFont="1" applyFill="1" applyBorder="1" applyAlignment="1">
      <alignment horizontal="center" vertical="center" wrapText="1"/>
    </xf>
    <xf numFmtId="0" fontId="72" fillId="0" borderId="16" xfId="0" applyFont="1" applyFill="1" applyBorder="1" applyAlignment="1">
      <alignment horizontal="center" vertical="center" wrapText="1"/>
    </xf>
    <xf numFmtId="0" fontId="72" fillId="0" borderId="17" xfId="0" applyFont="1" applyFill="1" applyBorder="1" applyAlignment="1">
      <alignment horizontal="center" vertical="center" wrapText="1"/>
    </xf>
    <xf numFmtId="0" fontId="72" fillId="0" borderId="18" xfId="0" applyFont="1" applyFill="1" applyBorder="1" applyAlignment="1">
      <alignment horizontal="center" vertical="center" wrapText="1"/>
    </xf>
    <xf numFmtId="0" fontId="72" fillId="0" borderId="22" xfId="0" applyFont="1" applyFill="1" applyBorder="1" applyAlignment="1">
      <alignment horizontal="center" vertical="center" wrapText="1"/>
    </xf>
    <xf numFmtId="0" fontId="72" fillId="0" borderId="23" xfId="0" applyFont="1" applyFill="1" applyBorder="1" applyAlignment="1">
      <alignment horizontal="center" vertical="center" wrapText="1"/>
    </xf>
    <xf numFmtId="0" fontId="72" fillId="0" borderId="17" xfId="0" applyFont="1" applyFill="1" applyBorder="1" applyAlignment="1">
      <alignment horizontal="center" vertical="center"/>
    </xf>
    <xf numFmtId="0" fontId="72" fillId="0" borderId="18" xfId="0" applyFont="1" applyFill="1" applyBorder="1" applyAlignment="1">
      <alignment horizontal="center" vertical="center"/>
    </xf>
    <xf numFmtId="171" fontId="72" fillId="0" borderId="14" xfId="0" quotePrefix="1" applyNumberFormat="1" applyFont="1" applyFill="1" applyBorder="1" applyAlignment="1">
      <alignment horizontal="center" wrapText="1"/>
    </xf>
    <xf numFmtId="0" fontId="72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top" wrapText="1"/>
    </xf>
    <xf numFmtId="0" fontId="75" fillId="0" borderId="0" xfId="0" applyFont="1" applyFill="1" applyBorder="1" applyAlignment="1">
      <alignment horizontal="center" vertical="top"/>
    </xf>
    <xf numFmtId="0" fontId="75" fillId="0" borderId="3" xfId="0" applyFont="1" applyFill="1" applyBorder="1" applyAlignment="1">
      <alignment horizontal="center" vertical="center"/>
    </xf>
    <xf numFmtId="0" fontId="75" fillId="0" borderId="15" xfId="0" applyFont="1" applyFill="1" applyBorder="1" applyAlignment="1" applyProtection="1">
      <alignment horizontal="center" vertical="center"/>
      <protection locked="0"/>
    </xf>
    <xf numFmtId="0" fontId="75" fillId="0" borderId="14" xfId="0" applyFont="1" applyFill="1" applyBorder="1" applyAlignment="1" applyProtection="1">
      <alignment horizontal="center" vertical="center"/>
      <protection locked="0"/>
    </xf>
    <xf numFmtId="0" fontId="75" fillId="0" borderId="16" xfId="0" applyFont="1" applyFill="1" applyBorder="1" applyAlignment="1" applyProtection="1">
      <alignment horizontal="center" vertical="center"/>
      <protection locked="0"/>
    </xf>
    <xf numFmtId="0" fontId="72" fillId="0" borderId="3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 wrapText="1"/>
    </xf>
    <xf numFmtId="0" fontId="73" fillId="29" borderId="15" xfId="0" applyFont="1" applyFill="1" applyBorder="1" applyAlignment="1">
      <alignment horizontal="center" vertical="center" wrapText="1"/>
    </xf>
    <xf numFmtId="0" fontId="73" fillId="29" borderId="16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 wrapText="1"/>
    </xf>
    <xf numFmtId="171" fontId="74" fillId="29" borderId="13" xfId="0" applyNumberFormat="1" applyFont="1" applyFill="1" applyBorder="1" applyAlignment="1">
      <alignment horizontal="left" wrapText="1"/>
    </xf>
    <xf numFmtId="0" fontId="64" fillId="29" borderId="19" xfId="0" applyFont="1" applyFill="1" applyBorder="1" applyAlignment="1">
      <alignment horizontal="center" vertical="center" wrapText="1"/>
    </xf>
    <xf numFmtId="0" fontId="66" fillId="29" borderId="0" xfId="0" applyFont="1" applyFill="1" applyBorder="1" applyAlignment="1">
      <alignment horizontal="center" wrapText="1"/>
    </xf>
    <xf numFmtId="0" fontId="73" fillId="29" borderId="15" xfId="0" applyFont="1" applyFill="1" applyBorder="1" applyAlignment="1">
      <alignment horizontal="center" vertical="center"/>
    </xf>
    <xf numFmtId="0" fontId="73" fillId="29" borderId="16" xfId="0" applyFont="1" applyFill="1" applyBorder="1" applyAlignment="1">
      <alignment horizontal="center" vertical="center"/>
    </xf>
    <xf numFmtId="0" fontId="73" fillId="29" borderId="15" xfId="0" applyFont="1" applyFill="1" applyBorder="1" applyAlignment="1">
      <alignment horizontal="left" vertical="center" wrapText="1"/>
    </xf>
    <xf numFmtId="0" fontId="73" fillId="29" borderId="16" xfId="0" applyFont="1" applyFill="1" applyBorder="1" applyAlignment="1">
      <alignment horizontal="left" vertical="center" wrapText="1"/>
    </xf>
    <xf numFmtId="2" fontId="73" fillId="29" borderId="15" xfId="0" applyNumberFormat="1" applyFont="1" applyFill="1" applyBorder="1" applyAlignment="1">
      <alignment horizontal="left" vertical="center" wrapText="1"/>
    </xf>
    <xf numFmtId="2" fontId="73" fillId="29" borderId="16" xfId="0" applyNumberFormat="1" applyFont="1" applyFill="1" applyBorder="1" applyAlignment="1">
      <alignment horizontal="left" vertical="center" wrapText="1"/>
    </xf>
    <xf numFmtId="0" fontId="71" fillId="0" borderId="19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center" vertical="center" wrapText="1"/>
    </xf>
    <xf numFmtId="0" fontId="73" fillId="0" borderId="16" xfId="0" applyFont="1" applyFill="1" applyBorder="1" applyAlignment="1">
      <alignment horizontal="center" vertical="center" wrapText="1"/>
    </xf>
    <xf numFmtId="0" fontId="96" fillId="0" borderId="0" xfId="0" applyFont="1" applyFill="1" applyBorder="1" applyAlignment="1">
      <alignment horizontal="center" wrapText="1"/>
    </xf>
    <xf numFmtId="171" fontId="101" fillId="0" borderId="13" xfId="0" applyNumberFormat="1" applyFont="1" applyFill="1" applyBorder="1" applyAlignment="1">
      <alignment horizontal="left" wrapText="1"/>
    </xf>
    <xf numFmtId="0" fontId="73" fillId="0" borderId="14" xfId="0" applyFont="1" applyFill="1" applyBorder="1" applyAlignment="1">
      <alignment horizontal="center" wrapText="1"/>
    </xf>
    <xf numFmtId="0" fontId="63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wrapText="1"/>
    </xf>
    <xf numFmtId="0" fontId="69" fillId="0" borderId="19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86" fillId="0" borderId="14" xfId="0" applyFont="1" applyFill="1" applyBorder="1" applyAlignment="1">
      <alignment horizontal="center"/>
    </xf>
    <xf numFmtId="0" fontId="67" fillId="0" borderId="0" xfId="0" applyFont="1" applyFill="1" applyAlignment="1">
      <alignment vertical="center" wrapText="1"/>
    </xf>
    <xf numFmtId="0" fontId="68" fillId="0" borderId="0" xfId="0" applyFont="1" applyAlignment="1">
      <alignment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3" fontId="63" fillId="0" borderId="3" xfId="0" applyNumberFormat="1" applyFont="1" applyFill="1" applyBorder="1" applyAlignment="1">
      <alignment horizontal="left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84" fillId="0" borderId="0" xfId="0" applyFont="1" applyFill="1" applyBorder="1" applyAlignment="1">
      <alignment horizontal="center" wrapText="1"/>
    </xf>
    <xf numFmtId="0" fontId="83" fillId="0" borderId="14" xfId="0" applyFont="1" applyFill="1" applyBorder="1" applyAlignment="1">
      <alignment horizontal="center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Звичайний" xfId="0" builtinId="0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Обычный_1139" xfId="353" xr:uid="{00000000-0005-0000-0000-00001D010000}"/>
    <cellStyle name="Плохой 2" xfId="285" xr:uid="{00000000-0005-0000-0000-00001E010000}"/>
    <cellStyle name="Плохой 3" xfId="286" xr:uid="{00000000-0005-0000-0000-00001F010000}"/>
    <cellStyle name="Пояснение 2" xfId="287" xr:uid="{00000000-0005-0000-0000-000020010000}"/>
    <cellStyle name="Пояснение 3" xfId="288" xr:uid="{00000000-0005-0000-0000-000021010000}"/>
    <cellStyle name="Примечание 2" xfId="289" xr:uid="{00000000-0005-0000-0000-000022010000}"/>
    <cellStyle name="Примечание 3" xfId="290" xr:uid="{00000000-0005-0000-0000-000023010000}"/>
    <cellStyle name="Процентный 2" xfId="291" xr:uid="{00000000-0005-0000-0000-000024010000}"/>
    <cellStyle name="Процентный 2 10" xfId="292" xr:uid="{00000000-0005-0000-0000-000025010000}"/>
    <cellStyle name="Процентный 2 11" xfId="293" xr:uid="{00000000-0005-0000-0000-000026010000}"/>
    <cellStyle name="Процентный 2 12" xfId="294" xr:uid="{00000000-0005-0000-0000-000027010000}"/>
    <cellStyle name="Процентный 2 13" xfId="295" xr:uid="{00000000-0005-0000-0000-000028010000}"/>
    <cellStyle name="Процентный 2 14" xfId="296" xr:uid="{00000000-0005-0000-0000-000029010000}"/>
    <cellStyle name="Процентный 2 15" xfId="297" xr:uid="{00000000-0005-0000-0000-00002A010000}"/>
    <cellStyle name="Процентный 2 16" xfId="298" xr:uid="{00000000-0005-0000-0000-00002B010000}"/>
    <cellStyle name="Процентный 2 2" xfId="299" xr:uid="{00000000-0005-0000-0000-00002C010000}"/>
    <cellStyle name="Процентный 2 3" xfId="300" xr:uid="{00000000-0005-0000-0000-00002D010000}"/>
    <cellStyle name="Процентный 2 4" xfId="301" xr:uid="{00000000-0005-0000-0000-00002E010000}"/>
    <cellStyle name="Процентный 2 5" xfId="302" xr:uid="{00000000-0005-0000-0000-00002F010000}"/>
    <cellStyle name="Процентный 2 6" xfId="303" xr:uid="{00000000-0005-0000-0000-000030010000}"/>
    <cellStyle name="Процентный 2 7" xfId="304" xr:uid="{00000000-0005-0000-0000-000031010000}"/>
    <cellStyle name="Процентный 2 8" xfId="305" xr:uid="{00000000-0005-0000-0000-000032010000}"/>
    <cellStyle name="Процентный 2 9" xfId="306" xr:uid="{00000000-0005-0000-0000-000033010000}"/>
    <cellStyle name="Процентный 3" xfId="307" xr:uid="{00000000-0005-0000-0000-000034010000}"/>
    <cellStyle name="Процентный 4" xfId="308" xr:uid="{00000000-0005-0000-0000-000035010000}"/>
    <cellStyle name="Процентный 4 2" xfId="309" xr:uid="{00000000-0005-0000-0000-000036010000}"/>
    <cellStyle name="Связанная ячейка 2" xfId="310" xr:uid="{00000000-0005-0000-0000-000037010000}"/>
    <cellStyle name="Связанная ячейка 3" xfId="311" xr:uid="{00000000-0005-0000-0000-000038010000}"/>
    <cellStyle name="Стиль 1" xfId="312" xr:uid="{00000000-0005-0000-0000-000039010000}"/>
    <cellStyle name="Стиль 1 2" xfId="313" xr:uid="{00000000-0005-0000-0000-00003A010000}"/>
    <cellStyle name="Стиль 1 3" xfId="314" xr:uid="{00000000-0005-0000-0000-00003B010000}"/>
    <cellStyle name="Стиль 1 4" xfId="315" xr:uid="{00000000-0005-0000-0000-00003C010000}"/>
    <cellStyle name="Стиль 1 5" xfId="316" xr:uid="{00000000-0005-0000-0000-00003D010000}"/>
    <cellStyle name="Стиль 1 6" xfId="317" xr:uid="{00000000-0005-0000-0000-00003E010000}"/>
    <cellStyle name="Стиль 1 7" xfId="318" xr:uid="{00000000-0005-0000-0000-00003F010000}"/>
    <cellStyle name="Текст предупреждения 2" xfId="319" xr:uid="{00000000-0005-0000-0000-000040010000}"/>
    <cellStyle name="Текст предупреждения 3" xfId="320" xr:uid="{00000000-0005-0000-0000-000041010000}"/>
    <cellStyle name="Тысячи [0]_1.62" xfId="321" xr:uid="{00000000-0005-0000-0000-000042010000}"/>
    <cellStyle name="Тысячи_1.62" xfId="322" xr:uid="{00000000-0005-0000-0000-000043010000}"/>
    <cellStyle name="Финансовый 2" xfId="323" xr:uid="{00000000-0005-0000-0000-000044010000}"/>
    <cellStyle name="Финансовый 2 10" xfId="324" xr:uid="{00000000-0005-0000-0000-000045010000}"/>
    <cellStyle name="Финансовый 2 11" xfId="325" xr:uid="{00000000-0005-0000-0000-000046010000}"/>
    <cellStyle name="Финансовый 2 12" xfId="326" xr:uid="{00000000-0005-0000-0000-000047010000}"/>
    <cellStyle name="Финансовый 2 13" xfId="327" xr:uid="{00000000-0005-0000-0000-000048010000}"/>
    <cellStyle name="Финансовый 2 14" xfId="328" xr:uid="{00000000-0005-0000-0000-000049010000}"/>
    <cellStyle name="Финансовый 2 15" xfId="329" xr:uid="{00000000-0005-0000-0000-00004A010000}"/>
    <cellStyle name="Финансовый 2 16" xfId="330" xr:uid="{00000000-0005-0000-0000-00004B010000}"/>
    <cellStyle name="Финансовый 2 17" xfId="331" xr:uid="{00000000-0005-0000-0000-00004C010000}"/>
    <cellStyle name="Финансовый 2 2" xfId="332" xr:uid="{00000000-0005-0000-0000-00004D010000}"/>
    <cellStyle name="Финансовый 2 3" xfId="333" xr:uid="{00000000-0005-0000-0000-00004E010000}"/>
    <cellStyle name="Финансовый 2 4" xfId="334" xr:uid="{00000000-0005-0000-0000-00004F010000}"/>
    <cellStyle name="Финансовый 2 5" xfId="335" xr:uid="{00000000-0005-0000-0000-000050010000}"/>
    <cellStyle name="Финансовый 2 6" xfId="336" xr:uid="{00000000-0005-0000-0000-000051010000}"/>
    <cellStyle name="Финансовый 2 7" xfId="337" xr:uid="{00000000-0005-0000-0000-000052010000}"/>
    <cellStyle name="Финансовый 2 8" xfId="338" xr:uid="{00000000-0005-0000-0000-000053010000}"/>
    <cellStyle name="Финансовый 2 9" xfId="339" xr:uid="{00000000-0005-0000-0000-000054010000}"/>
    <cellStyle name="Финансовый 3" xfId="340" xr:uid="{00000000-0005-0000-0000-000055010000}"/>
    <cellStyle name="Финансовый 3 2" xfId="341" xr:uid="{00000000-0005-0000-0000-000056010000}"/>
    <cellStyle name="Финансовый 4" xfId="342" xr:uid="{00000000-0005-0000-0000-000057010000}"/>
    <cellStyle name="Финансовый 4 2" xfId="343" xr:uid="{00000000-0005-0000-0000-000058010000}"/>
    <cellStyle name="Финансовый 4 3" xfId="344" xr:uid="{00000000-0005-0000-0000-000059010000}"/>
    <cellStyle name="Финансовый 5" xfId="345" xr:uid="{00000000-0005-0000-0000-00005A010000}"/>
    <cellStyle name="Финансовый 6" xfId="346" xr:uid="{00000000-0005-0000-0000-00005B010000}"/>
    <cellStyle name="Финансовый 7" xfId="347" xr:uid="{00000000-0005-0000-0000-00005C010000}"/>
    <cellStyle name="Хороший 2" xfId="348" xr:uid="{00000000-0005-0000-0000-00005D010000}"/>
    <cellStyle name="Хороший 3" xfId="349" xr:uid="{00000000-0005-0000-0000-00005E010000}"/>
    <cellStyle name="числовой" xfId="350" xr:uid="{00000000-0005-0000-0000-00005F010000}"/>
    <cellStyle name="Ю" xfId="351" xr:uid="{00000000-0005-0000-0000-000060010000}"/>
    <cellStyle name="Ю-FreeSet_10" xfId="352" xr:uid="{00000000-0005-0000-0000-000061010000}"/>
  </cellStyles>
  <dxfs count="0"/>
  <tableStyles count="0" defaultTableStyle="TableStyleMedium2" defaultPivotStyle="PivotStyleLight16"/>
  <colors>
    <mruColors>
      <color rgb="FFFFFFCC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O249"/>
  <sheetViews>
    <sheetView view="pageBreakPreview" topLeftCell="A91" zoomScale="75" zoomScaleNormal="75" zoomScaleSheetLayoutView="75" workbookViewId="0">
      <selection activeCell="C75" sqref="C75"/>
    </sheetView>
  </sheetViews>
  <sheetFormatPr defaultRowHeight="20.25"/>
  <cols>
    <col min="1" max="1" width="58.42578125" style="1" customWidth="1"/>
    <col min="2" max="2" width="11.140625" style="72" customWidth="1"/>
    <col min="3" max="3" width="15.140625" style="72" customWidth="1"/>
    <col min="4" max="4" width="17.7109375" style="72" customWidth="1"/>
    <col min="5" max="5" width="16.140625" style="1" customWidth="1"/>
    <col min="6" max="6" width="16" style="1" customWidth="1"/>
    <col min="7" max="7" width="18.140625" style="1" customWidth="1"/>
    <col min="8" max="8" width="17.42578125" style="1" customWidth="1"/>
    <col min="9" max="10" width="16.7109375" style="1" customWidth="1"/>
    <col min="11" max="11" width="20.28515625" style="1" customWidth="1"/>
    <col min="12" max="12" width="19.140625" style="1" customWidth="1"/>
    <col min="13" max="13" width="17.42578125" style="1" customWidth="1"/>
    <col min="14" max="14" width="15.85546875" style="1" customWidth="1"/>
    <col min="15" max="16384" width="9.140625" style="1"/>
  </cols>
  <sheetData>
    <row r="1" spans="1:12" ht="93.75" customHeight="1">
      <c r="A1" s="284" t="s">
        <v>320</v>
      </c>
      <c r="B1" s="285"/>
      <c r="C1" s="285"/>
      <c r="D1" s="285"/>
      <c r="E1" s="285"/>
      <c r="F1" s="285"/>
      <c r="G1" s="285"/>
      <c r="H1" s="285"/>
    </row>
    <row r="2" spans="1:12" ht="24" customHeight="1">
      <c r="A2" s="283" t="s">
        <v>15</v>
      </c>
      <c r="B2" s="283"/>
      <c r="C2" s="283"/>
      <c r="D2" s="283"/>
      <c r="E2" s="283"/>
      <c r="F2" s="283"/>
      <c r="G2" s="283"/>
      <c r="H2" s="283"/>
    </row>
    <row r="3" spans="1:12" s="128" customFormat="1" ht="16.5" customHeight="1">
      <c r="A3" s="76"/>
      <c r="B3" s="77"/>
      <c r="C3" s="78"/>
      <c r="D3" s="77"/>
      <c r="E3" s="77"/>
      <c r="F3" s="77"/>
      <c r="G3" s="77"/>
      <c r="H3" s="79" t="s">
        <v>51</v>
      </c>
    </row>
    <row r="4" spans="1:12" ht="60.75" customHeight="1">
      <c r="A4" s="290" t="s">
        <v>20</v>
      </c>
      <c r="B4" s="291" t="s">
        <v>4</v>
      </c>
      <c r="C4" s="291" t="s">
        <v>102</v>
      </c>
      <c r="D4" s="291"/>
      <c r="E4" s="290" t="s">
        <v>295</v>
      </c>
      <c r="F4" s="290"/>
      <c r="G4" s="290"/>
      <c r="H4" s="290"/>
    </row>
    <row r="5" spans="1:12" ht="46.5" customHeight="1">
      <c r="A5" s="290"/>
      <c r="B5" s="291"/>
      <c r="C5" s="9" t="s">
        <v>222</v>
      </c>
      <c r="D5" s="9" t="s">
        <v>263</v>
      </c>
      <c r="E5" s="80" t="s">
        <v>155</v>
      </c>
      <c r="F5" s="80" t="s">
        <v>91</v>
      </c>
      <c r="G5" s="80" t="s">
        <v>92</v>
      </c>
      <c r="H5" s="80" t="s">
        <v>93</v>
      </c>
    </row>
    <row r="6" spans="1:12" s="128" customFormat="1" ht="21" customHeight="1">
      <c r="A6" s="74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</row>
    <row r="7" spans="1:12" ht="23.25" customHeight="1">
      <c r="A7" s="292" t="s">
        <v>80</v>
      </c>
      <c r="B7" s="292"/>
      <c r="C7" s="292"/>
      <c r="D7" s="292"/>
      <c r="E7" s="292"/>
      <c r="F7" s="292"/>
      <c r="G7" s="292"/>
      <c r="H7" s="292"/>
    </row>
    <row r="8" spans="1:12" ht="42" customHeight="1">
      <c r="A8" s="81" t="s">
        <v>226</v>
      </c>
      <c r="B8" s="82">
        <v>1000</v>
      </c>
      <c r="C8" s="55">
        <v>55214.7</v>
      </c>
      <c r="D8" s="55">
        <v>74991.900000000009</v>
      </c>
      <c r="E8" s="129">
        <v>58698.1</v>
      </c>
      <c r="F8" s="55">
        <v>74991.900000000009</v>
      </c>
      <c r="G8" s="83">
        <f>F8-E8</f>
        <v>16293.80000000001</v>
      </c>
      <c r="H8" s="83">
        <f>(F8/E8)*100</f>
        <v>127.75864976890226</v>
      </c>
      <c r="K8" s="36"/>
    </row>
    <row r="9" spans="1:12" ht="63.75" customHeight="1">
      <c r="A9" s="81" t="s">
        <v>60</v>
      </c>
      <c r="B9" s="82">
        <v>1010</v>
      </c>
      <c r="C9" s="83">
        <f t="shared" ref="C9" si="0">SUM(C10:C14)</f>
        <v>-52578.9</v>
      </c>
      <c r="D9" s="83">
        <f t="shared" ref="D9" si="1">SUM(D10:D14)</f>
        <v>-75491.3</v>
      </c>
      <c r="E9" s="55">
        <f>SUM(E10:E14)</f>
        <v>-63671.199999999997</v>
      </c>
      <c r="F9" s="83">
        <f t="shared" ref="F9" si="2">SUM(F10:F14)</f>
        <v>-75491.3</v>
      </c>
      <c r="G9" s="83">
        <f t="shared" ref="G9:G43" si="3">F9-E9</f>
        <v>-11820.100000000006</v>
      </c>
      <c r="H9" s="83">
        <f t="shared" ref="H9:H43" si="4">(F9/E9)*100</f>
        <v>118.56428023973163</v>
      </c>
      <c r="K9" s="67"/>
    </row>
    <row r="10" spans="1:12" ht="24.75" customHeight="1">
      <c r="A10" s="84" t="s">
        <v>61</v>
      </c>
      <c r="B10" s="122">
        <v>1011</v>
      </c>
      <c r="C10" s="23">
        <v>-13911.9</v>
      </c>
      <c r="D10" s="23">
        <v>-24673.7</v>
      </c>
      <c r="E10" s="23">
        <v>-16544.7</v>
      </c>
      <c r="F10" s="23">
        <v>-24673.7</v>
      </c>
      <c r="G10" s="24">
        <f t="shared" si="3"/>
        <v>-8129</v>
      </c>
      <c r="H10" s="24">
        <f t="shared" si="4"/>
        <v>149.13355938759844</v>
      </c>
    </row>
    <row r="11" spans="1:12" ht="25.5" customHeight="1">
      <c r="A11" s="84" t="s">
        <v>1</v>
      </c>
      <c r="B11" s="122">
        <v>1012</v>
      </c>
      <c r="C11" s="23">
        <v>-28416.7</v>
      </c>
      <c r="D11" s="23">
        <v>-35468.199999999997</v>
      </c>
      <c r="E11" s="23">
        <v>-32821.599999999999</v>
      </c>
      <c r="F11" s="23">
        <v>-35468.199999999997</v>
      </c>
      <c r="G11" s="24">
        <f t="shared" si="3"/>
        <v>-2646.5999999999985</v>
      </c>
      <c r="H11" s="24">
        <f t="shared" si="4"/>
        <v>108.0635922685061</v>
      </c>
      <c r="K11" s="67"/>
    </row>
    <row r="12" spans="1:12" ht="25.5" customHeight="1">
      <c r="A12" s="84" t="s">
        <v>2</v>
      </c>
      <c r="B12" s="122">
        <v>1013</v>
      </c>
      <c r="C12" s="23">
        <v>-6193.1</v>
      </c>
      <c r="D12" s="23">
        <v>-7690.6</v>
      </c>
      <c r="E12" s="23">
        <v>-7135.7</v>
      </c>
      <c r="F12" s="23">
        <v>-7690.6</v>
      </c>
      <c r="G12" s="24">
        <f t="shared" si="3"/>
        <v>-554.90000000000055</v>
      </c>
      <c r="H12" s="24">
        <f t="shared" si="4"/>
        <v>107.77639194472863</v>
      </c>
      <c r="I12" s="67"/>
      <c r="J12" s="67"/>
    </row>
    <row r="13" spans="1:12" ht="24" customHeight="1">
      <c r="A13" s="84" t="s">
        <v>3</v>
      </c>
      <c r="B13" s="122">
        <v>1014</v>
      </c>
      <c r="C13" s="23">
        <v>-3847.3</v>
      </c>
      <c r="D13" s="23">
        <v>-6986</v>
      </c>
      <c r="E13" s="23">
        <v>-6375</v>
      </c>
      <c r="F13" s="23">
        <v>-6986</v>
      </c>
      <c r="G13" s="24">
        <f t="shared" si="3"/>
        <v>-611</v>
      </c>
      <c r="H13" s="24">
        <f t="shared" si="4"/>
        <v>109.5843137254902</v>
      </c>
      <c r="I13" s="102"/>
      <c r="J13" s="102"/>
      <c r="K13" s="102"/>
      <c r="L13" s="102"/>
    </row>
    <row r="14" spans="1:12" ht="24" customHeight="1">
      <c r="A14" s="84" t="s">
        <v>44</v>
      </c>
      <c r="B14" s="122">
        <v>1015</v>
      </c>
      <c r="C14" s="23">
        <v>-209.9</v>
      </c>
      <c r="D14" s="23">
        <v>-672.8</v>
      </c>
      <c r="E14" s="23">
        <v>-794.2</v>
      </c>
      <c r="F14" s="23">
        <v>-672.8</v>
      </c>
      <c r="G14" s="24">
        <f t="shared" si="3"/>
        <v>121.40000000000009</v>
      </c>
      <c r="H14" s="24">
        <f t="shared" si="4"/>
        <v>84.714177788970019</v>
      </c>
      <c r="I14" s="67"/>
      <c r="J14" s="67"/>
    </row>
    <row r="15" spans="1:12" ht="28.5" customHeight="1">
      <c r="A15" s="81" t="s">
        <v>22</v>
      </c>
      <c r="B15" s="122">
        <v>1020</v>
      </c>
      <c r="C15" s="83">
        <f t="shared" ref="C15:D15" si="5">SUM(C8:C9)</f>
        <v>2635.7999999999956</v>
      </c>
      <c r="D15" s="83">
        <f t="shared" si="5"/>
        <v>-499.39999999999418</v>
      </c>
      <c r="E15" s="55">
        <f>SUM(E8:E9)</f>
        <v>-4973.0999999999985</v>
      </c>
      <c r="F15" s="83">
        <f t="shared" ref="F15" si="6">SUM(F8:F9)</f>
        <v>-499.39999999999418</v>
      </c>
      <c r="G15" s="83">
        <f t="shared" si="3"/>
        <v>4473.7000000000044</v>
      </c>
      <c r="H15" s="83">
        <f t="shared" si="4"/>
        <v>10.042026100420147</v>
      </c>
    </row>
    <row r="16" spans="1:12" ht="43.5" customHeight="1">
      <c r="A16" s="81" t="s">
        <v>75</v>
      </c>
      <c r="B16" s="82">
        <v>1020</v>
      </c>
      <c r="C16" s="83">
        <f t="shared" ref="C16:D16" si="7">SUM(C17:C21)</f>
        <v>-2461.8000000000002</v>
      </c>
      <c r="D16" s="83">
        <f t="shared" si="7"/>
        <v>-3578.3</v>
      </c>
      <c r="E16" s="55">
        <f>SUM(E17:E21)</f>
        <v>-2989.3</v>
      </c>
      <c r="F16" s="83">
        <f t="shared" ref="F16" si="8">SUM(F17:F21)</f>
        <v>-3578.3</v>
      </c>
      <c r="G16" s="83">
        <f t="shared" si="3"/>
        <v>-589</v>
      </c>
      <c r="H16" s="83">
        <f t="shared" si="4"/>
        <v>119.70360954069514</v>
      </c>
    </row>
    <row r="17" spans="1:13" ht="27" customHeight="1">
      <c r="A17" s="84" t="s">
        <v>61</v>
      </c>
      <c r="B17" s="122">
        <v>1021</v>
      </c>
      <c r="C17" s="23">
        <v>-5.0999999999999996</v>
      </c>
      <c r="D17" s="23">
        <v>-85</v>
      </c>
      <c r="E17" s="23">
        <v>-52</v>
      </c>
      <c r="F17" s="23">
        <v>-85</v>
      </c>
      <c r="G17" s="24">
        <f t="shared" si="3"/>
        <v>-33</v>
      </c>
      <c r="H17" s="24">
        <f t="shared" si="4"/>
        <v>163.46153846153845</v>
      </c>
      <c r="I17" s="67"/>
      <c r="J17" s="67"/>
    </row>
    <row r="18" spans="1:13" ht="27.75" customHeight="1">
      <c r="A18" s="84" t="s">
        <v>1</v>
      </c>
      <c r="B18" s="122">
        <v>1022</v>
      </c>
      <c r="C18" s="23">
        <f>-1893.7</f>
        <v>-1893.7</v>
      </c>
      <c r="D18" s="23">
        <v>-2790</v>
      </c>
      <c r="E18" s="23">
        <v>-2300</v>
      </c>
      <c r="F18" s="23">
        <v>-2790</v>
      </c>
      <c r="G18" s="24">
        <f t="shared" si="3"/>
        <v>-490</v>
      </c>
      <c r="H18" s="24">
        <f t="shared" si="4"/>
        <v>121.30434782608697</v>
      </c>
      <c r="I18" s="67"/>
      <c r="J18" s="67"/>
    </row>
    <row r="19" spans="1:13" ht="25.5" customHeight="1">
      <c r="A19" s="84" t="s">
        <v>2</v>
      </c>
      <c r="B19" s="122">
        <v>1023</v>
      </c>
      <c r="C19" s="23">
        <v>-376.1</v>
      </c>
      <c r="D19" s="23">
        <v>-537.79999999999995</v>
      </c>
      <c r="E19" s="23">
        <v>-460</v>
      </c>
      <c r="F19" s="23">
        <v>-537.79999999999995</v>
      </c>
      <c r="G19" s="24">
        <f t="shared" si="3"/>
        <v>-77.799999999999955</v>
      </c>
      <c r="H19" s="24">
        <f t="shared" si="4"/>
        <v>116.91304347826086</v>
      </c>
      <c r="I19" s="67"/>
      <c r="J19" s="67"/>
    </row>
    <row r="20" spans="1:13" ht="24.75" customHeight="1">
      <c r="A20" s="84" t="s">
        <v>3</v>
      </c>
      <c r="B20" s="122">
        <v>1024</v>
      </c>
      <c r="C20" s="23"/>
      <c r="D20" s="23"/>
      <c r="E20" s="23" t="s">
        <v>291</v>
      </c>
      <c r="F20" s="23"/>
      <c r="G20" s="105" t="e">
        <f t="shared" si="3"/>
        <v>#VALUE!</v>
      </c>
      <c r="H20" s="24"/>
      <c r="I20" s="37"/>
      <c r="J20" s="37"/>
      <c r="K20" s="37"/>
      <c r="L20" s="37"/>
    </row>
    <row r="21" spans="1:13" ht="38.25" customHeight="1">
      <c r="A21" s="84" t="s">
        <v>62</v>
      </c>
      <c r="B21" s="122">
        <v>1025</v>
      </c>
      <c r="C21" s="23">
        <v>-186.9</v>
      </c>
      <c r="D21" s="23">
        <v>-165.5</v>
      </c>
      <c r="E21" s="23">
        <v>-177.3</v>
      </c>
      <c r="F21" s="23">
        <v>-165.5</v>
      </c>
      <c r="G21" s="24">
        <f t="shared" si="3"/>
        <v>11.800000000000011</v>
      </c>
      <c r="H21" s="24">
        <f t="shared" si="4"/>
        <v>93.344613649182179</v>
      </c>
      <c r="I21" s="37"/>
      <c r="J21" s="37"/>
      <c r="K21" s="37"/>
      <c r="L21" s="37"/>
    </row>
    <row r="22" spans="1:13" ht="38.25" customHeight="1">
      <c r="A22" s="81" t="s">
        <v>31</v>
      </c>
      <c r="B22" s="82">
        <v>1040</v>
      </c>
      <c r="C22" s="83">
        <f>SUM(C23:C24)</f>
        <v>6415.4</v>
      </c>
      <c r="D22" s="83">
        <f>SUM(D23:D24)</f>
        <v>11747.3</v>
      </c>
      <c r="E22" s="55">
        <f>E23+E24</f>
        <v>4947.1000000000004</v>
      </c>
      <c r="F22" s="83">
        <f>SUM(F23:F24)</f>
        <v>11747.3</v>
      </c>
      <c r="G22" s="83">
        <f t="shared" si="3"/>
        <v>6800.1999999999989</v>
      </c>
      <c r="H22" s="83">
        <f t="shared" si="4"/>
        <v>237.45830890824925</v>
      </c>
      <c r="I22" s="65"/>
      <c r="J22" s="65"/>
      <c r="K22" s="65"/>
      <c r="L22" s="65"/>
      <c r="M22" s="65"/>
    </row>
    <row r="23" spans="1:13" ht="33" customHeight="1">
      <c r="A23" s="84" t="s">
        <v>32</v>
      </c>
      <c r="B23" s="122">
        <v>1041</v>
      </c>
      <c r="C23" s="24"/>
      <c r="D23" s="24"/>
      <c r="E23" s="23"/>
      <c r="F23" s="24"/>
      <c r="G23" s="24">
        <f t="shared" si="3"/>
        <v>0</v>
      </c>
      <c r="H23" s="85"/>
      <c r="I23" s="37"/>
      <c r="J23" s="37"/>
      <c r="K23" s="37"/>
      <c r="L23" s="37"/>
    </row>
    <row r="24" spans="1:13" ht="30" customHeight="1">
      <c r="A24" s="84" t="s">
        <v>33</v>
      </c>
      <c r="B24" s="122">
        <v>1042</v>
      </c>
      <c r="C24" s="23">
        <v>6415.4</v>
      </c>
      <c r="D24" s="23">
        <v>11747.3</v>
      </c>
      <c r="E24" s="130">
        <v>4947.1000000000004</v>
      </c>
      <c r="F24" s="23">
        <v>11747.3</v>
      </c>
      <c r="G24" s="24">
        <f t="shared" si="3"/>
        <v>6800.1999999999989</v>
      </c>
      <c r="H24" s="24">
        <f t="shared" si="4"/>
        <v>237.45830890824925</v>
      </c>
    </row>
    <row r="25" spans="1:13" ht="42.75" customHeight="1">
      <c r="A25" s="81" t="s">
        <v>10</v>
      </c>
      <c r="B25" s="82">
        <v>1030</v>
      </c>
      <c r="C25" s="83">
        <f t="shared" ref="C25:D25" si="9">SUM(C26:C30)</f>
        <v>-1643.1</v>
      </c>
      <c r="D25" s="83">
        <f t="shared" si="9"/>
        <v>-2101.7999999999997</v>
      </c>
      <c r="E25" s="55">
        <f t="shared" ref="E25:F25" si="10">SUM(E26:E30)</f>
        <v>-1972</v>
      </c>
      <c r="F25" s="83">
        <f t="shared" si="10"/>
        <v>-2101.7999999999997</v>
      </c>
      <c r="G25" s="83">
        <f t="shared" si="3"/>
        <v>-129.79999999999973</v>
      </c>
      <c r="H25" s="83">
        <f t="shared" si="4"/>
        <v>106.58215010141987</v>
      </c>
    </row>
    <row r="26" spans="1:13" ht="21.95" customHeight="1">
      <c r="A26" s="84" t="s">
        <v>61</v>
      </c>
      <c r="B26" s="122">
        <v>1031</v>
      </c>
      <c r="C26" s="24"/>
      <c r="D26" s="24"/>
      <c r="E26" s="23" t="s">
        <v>291</v>
      </c>
      <c r="F26" s="24"/>
      <c r="G26" s="106" t="e">
        <f t="shared" si="3"/>
        <v>#VALUE!</v>
      </c>
      <c r="H26" s="83"/>
    </row>
    <row r="27" spans="1:13" ht="21.95" customHeight="1">
      <c r="A27" s="84" t="s">
        <v>1</v>
      </c>
      <c r="B27" s="122">
        <v>1032</v>
      </c>
      <c r="C27" s="23">
        <v>-970</v>
      </c>
      <c r="D27" s="23">
        <v>-1218.3</v>
      </c>
      <c r="E27" s="23">
        <v>-1000</v>
      </c>
      <c r="F27" s="23">
        <v>-1218.3</v>
      </c>
      <c r="G27" s="24">
        <f t="shared" si="3"/>
        <v>-218.29999999999995</v>
      </c>
      <c r="H27" s="24">
        <f t="shared" si="4"/>
        <v>121.83</v>
      </c>
    </row>
    <row r="28" spans="1:13" ht="21.95" customHeight="1">
      <c r="A28" s="84" t="s">
        <v>2</v>
      </c>
      <c r="B28" s="122">
        <v>1033</v>
      </c>
      <c r="C28" s="23">
        <v>-186.7</v>
      </c>
      <c r="D28" s="23">
        <v>-238.8</v>
      </c>
      <c r="E28" s="23">
        <v>-195</v>
      </c>
      <c r="F28" s="23">
        <v>-238.8</v>
      </c>
      <c r="G28" s="24">
        <f t="shared" si="3"/>
        <v>-43.800000000000011</v>
      </c>
      <c r="H28" s="24">
        <f t="shared" si="4"/>
        <v>122.46153846153847</v>
      </c>
    </row>
    <row r="29" spans="1:13" ht="21.95" customHeight="1">
      <c r="A29" s="84" t="s">
        <v>3</v>
      </c>
      <c r="B29" s="122">
        <v>1034</v>
      </c>
      <c r="C29" s="23">
        <v>-341.8</v>
      </c>
      <c r="D29" s="23">
        <v>-443.8</v>
      </c>
      <c r="E29" s="23">
        <v>-640</v>
      </c>
      <c r="F29" s="23">
        <v>-443.8</v>
      </c>
      <c r="G29" s="24">
        <f t="shared" si="3"/>
        <v>196.2</v>
      </c>
      <c r="H29" s="85"/>
    </row>
    <row r="30" spans="1:13" ht="21.95" customHeight="1">
      <c r="A30" s="84" t="s">
        <v>63</v>
      </c>
      <c r="B30" s="122">
        <v>1035</v>
      </c>
      <c r="C30" s="23">
        <v>-144.6</v>
      </c>
      <c r="D30" s="23">
        <v>-200.9</v>
      </c>
      <c r="E30" s="23">
        <v>-137</v>
      </c>
      <c r="F30" s="23">
        <v>-200.9</v>
      </c>
      <c r="G30" s="24">
        <f t="shared" si="3"/>
        <v>-63.900000000000006</v>
      </c>
      <c r="H30" s="24">
        <f t="shared" si="4"/>
        <v>146.64233576642337</v>
      </c>
    </row>
    <row r="31" spans="1:13" ht="41.25" customHeight="1">
      <c r="A31" s="81" t="s">
        <v>0</v>
      </c>
      <c r="B31" s="122">
        <v>1100</v>
      </c>
      <c r="C31" s="83">
        <f t="shared" ref="C31" si="11">SUM(C15,C16,C22,C25)</f>
        <v>4946.2999999999956</v>
      </c>
      <c r="D31" s="83">
        <f t="shared" ref="D31:E31" si="12">SUM(D15,D16,D22,D25)</f>
        <v>5567.8000000000047</v>
      </c>
      <c r="E31" s="55">
        <f t="shared" si="12"/>
        <v>-4987.2999999999984</v>
      </c>
      <c r="F31" s="83">
        <f t="shared" ref="F31" si="13">SUM(F15,F16,F22,F25)</f>
        <v>5567.8000000000047</v>
      </c>
      <c r="G31" s="83">
        <f t="shared" si="3"/>
        <v>10555.100000000002</v>
      </c>
      <c r="H31" s="83">
        <f t="shared" si="4"/>
        <v>-111.63956449381442</v>
      </c>
    </row>
    <row r="32" spans="1:13" ht="21.95" customHeight="1">
      <c r="A32" s="81" t="s">
        <v>227</v>
      </c>
      <c r="B32" s="82">
        <v>1130</v>
      </c>
      <c r="C32" s="83">
        <v>86.6</v>
      </c>
      <c r="D32" s="83">
        <v>987.7</v>
      </c>
      <c r="E32" s="131">
        <v>131</v>
      </c>
      <c r="F32" s="83">
        <v>987.7</v>
      </c>
      <c r="G32" s="83">
        <f t="shared" si="3"/>
        <v>856.7</v>
      </c>
      <c r="H32" s="75">
        <f t="shared" si="4"/>
        <v>753.96946564885502</v>
      </c>
      <c r="I32" s="66"/>
      <c r="J32" s="66"/>
      <c r="K32" s="65"/>
      <c r="L32" s="65"/>
      <c r="M32" s="65"/>
    </row>
    <row r="33" spans="1:15" ht="21.95" customHeight="1">
      <c r="A33" s="86" t="s">
        <v>228</v>
      </c>
      <c r="B33" s="82">
        <v>1140</v>
      </c>
      <c r="C33" s="24"/>
      <c r="D33" s="24"/>
      <c r="E33" s="23" t="s">
        <v>291</v>
      </c>
      <c r="F33" s="24"/>
      <c r="G33" s="106" t="e">
        <f t="shared" si="3"/>
        <v>#VALUE!</v>
      </c>
      <c r="H33" s="85"/>
      <c r="K33" s="65"/>
      <c r="L33" s="65"/>
      <c r="M33" s="65"/>
    </row>
    <row r="34" spans="1:15" ht="21.95" customHeight="1">
      <c r="A34" s="81" t="s">
        <v>229</v>
      </c>
      <c r="B34" s="82">
        <v>1150</v>
      </c>
      <c r="C34" s="55">
        <v>3924.3</v>
      </c>
      <c r="D34" s="55">
        <v>6821.4</v>
      </c>
      <c r="E34" s="131">
        <v>6640</v>
      </c>
      <c r="F34" s="55">
        <v>6821.4</v>
      </c>
      <c r="G34" s="83">
        <f t="shared" si="3"/>
        <v>181.39999999999964</v>
      </c>
      <c r="H34" s="87">
        <f>(F34/E34)*100</f>
        <v>102.73192771084337</v>
      </c>
      <c r="I34" s="65"/>
      <c r="J34" s="65"/>
      <c r="K34" s="65"/>
      <c r="L34" s="65"/>
      <c r="M34" s="65"/>
    </row>
    <row r="35" spans="1:15" ht="21.95" customHeight="1">
      <c r="A35" s="81" t="s">
        <v>230</v>
      </c>
      <c r="B35" s="82">
        <v>1160</v>
      </c>
      <c r="C35" s="24"/>
      <c r="D35" s="24"/>
      <c r="E35" s="23" t="s">
        <v>291</v>
      </c>
      <c r="F35" s="24"/>
      <c r="G35" s="106" t="e">
        <f t="shared" si="3"/>
        <v>#VALUE!</v>
      </c>
      <c r="H35" s="85"/>
      <c r="K35" s="65"/>
      <c r="L35" s="65"/>
      <c r="M35" s="65"/>
    </row>
    <row r="36" spans="1:15" ht="43.5" customHeight="1">
      <c r="A36" s="81" t="s">
        <v>12</v>
      </c>
      <c r="B36" s="82">
        <v>1170</v>
      </c>
      <c r="C36" s="83">
        <f>SUM(C31, C32:C35)</f>
        <v>8957.1999999999971</v>
      </c>
      <c r="D36" s="83">
        <f>SUM(D31, D32:D35)</f>
        <v>13376.900000000005</v>
      </c>
      <c r="E36" s="55">
        <f>SUM(E31, E32:E35)</f>
        <v>1783.7000000000016</v>
      </c>
      <c r="F36" s="83">
        <f>SUM(F31, F32:F35)</f>
        <v>13376.900000000005</v>
      </c>
      <c r="G36" s="83">
        <f t="shared" si="3"/>
        <v>11593.200000000004</v>
      </c>
      <c r="H36" s="85"/>
      <c r="K36" s="65"/>
    </row>
    <row r="37" spans="1:15" ht="24.75" customHeight="1">
      <c r="A37" s="86" t="s">
        <v>24</v>
      </c>
      <c r="B37" s="122">
        <v>1180</v>
      </c>
      <c r="C37" s="24"/>
      <c r="D37" s="24"/>
      <c r="E37" s="23" t="s">
        <v>291</v>
      </c>
      <c r="F37" s="24"/>
      <c r="G37" s="106" t="e">
        <f t="shared" si="3"/>
        <v>#VALUE!</v>
      </c>
      <c r="H37" s="85"/>
    </row>
    <row r="38" spans="1:15" ht="29.25" customHeight="1">
      <c r="A38" s="86" t="s">
        <v>25</v>
      </c>
      <c r="B38" s="122">
        <v>1181</v>
      </c>
      <c r="C38" s="24"/>
      <c r="D38" s="24"/>
      <c r="E38" s="23"/>
      <c r="F38" s="24"/>
      <c r="G38" s="83">
        <f t="shared" si="3"/>
        <v>0</v>
      </c>
      <c r="H38" s="85"/>
    </row>
    <row r="39" spans="1:15" ht="21.95" customHeight="1">
      <c r="A39" s="81" t="s">
        <v>40</v>
      </c>
      <c r="B39" s="122">
        <v>1200</v>
      </c>
      <c r="C39" s="83">
        <f>SUM(C36:C38)</f>
        <v>8957.1999999999971</v>
      </c>
      <c r="D39" s="83">
        <f>SUM(D36:D38)</f>
        <v>13376.900000000005</v>
      </c>
      <c r="E39" s="55">
        <f>SUM(E36:E38)</f>
        <v>1783.7000000000016</v>
      </c>
      <c r="F39" s="83">
        <f>SUM(F36:F38)</f>
        <v>13376.900000000005</v>
      </c>
      <c r="G39" s="83">
        <f t="shared" si="3"/>
        <v>11593.200000000004</v>
      </c>
      <c r="H39" s="88"/>
    </row>
    <row r="40" spans="1:15" ht="21.95" customHeight="1">
      <c r="A40" s="86" t="s">
        <v>41</v>
      </c>
      <c r="B40" s="122">
        <v>1201</v>
      </c>
      <c r="C40" s="24">
        <f>C42+C43</f>
        <v>8957.1999999999971</v>
      </c>
      <c r="D40" s="24">
        <f>D42+D43</f>
        <v>13376.899999999994</v>
      </c>
      <c r="E40" s="23">
        <f t="shared" ref="E40" si="14">E42+E43</f>
        <v>1783.6999999999971</v>
      </c>
      <c r="F40" s="24">
        <f>F42+F43</f>
        <v>13376.899999999994</v>
      </c>
      <c r="G40" s="24">
        <f t="shared" si="3"/>
        <v>11593.199999999997</v>
      </c>
      <c r="H40" s="85"/>
    </row>
    <row r="41" spans="1:15" ht="21.95" customHeight="1">
      <c r="A41" s="86" t="s">
        <v>42</v>
      </c>
      <c r="B41" s="122">
        <v>1202</v>
      </c>
      <c r="C41" s="24"/>
      <c r="D41" s="24"/>
      <c r="E41" s="23" t="s">
        <v>291</v>
      </c>
      <c r="F41" s="24"/>
      <c r="G41" s="106" t="e">
        <f t="shared" si="3"/>
        <v>#VALUE!</v>
      </c>
      <c r="H41" s="85"/>
    </row>
    <row r="42" spans="1:15" ht="21.95" customHeight="1">
      <c r="A42" s="81" t="s">
        <v>97</v>
      </c>
      <c r="B42" s="82">
        <v>1210</v>
      </c>
      <c r="C42" s="83">
        <f t="shared" ref="C42" si="15">SUM(C8,C22,C32,C34,C38)</f>
        <v>65641</v>
      </c>
      <c r="D42" s="83">
        <f t="shared" ref="D42" si="16">SUM(D8,D22,D32,D34,D38)</f>
        <v>94548.3</v>
      </c>
      <c r="E42" s="55">
        <f>SUM(E8,E22,E32,E34,E38)</f>
        <v>70416.2</v>
      </c>
      <c r="F42" s="83">
        <f t="shared" ref="F42" si="17">SUM(F8,F22,F32,F34,F38)</f>
        <v>94548.3</v>
      </c>
      <c r="G42" s="83">
        <f t="shared" si="3"/>
        <v>24132.100000000006</v>
      </c>
      <c r="H42" s="87">
        <f t="shared" si="4"/>
        <v>134.27066498902244</v>
      </c>
    </row>
    <row r="43" spans="1:15" ht="21.95" customHeight="1">
      <c r="A43" s="81" t="s">
        <v>98</v>
      </c>
      <c r="B43" s="82">
        <v>1220</v>
      </c>
      <c r="C43" s="83">
        <f t="shared" ref="C43" si="18">SUM(C9,C16,C25,C33,C35,C37)</f>
        <v>-56683.8</v>
      </c>
      <c r="D43" s="83">
        <f t="shared" ref="D43" si="19">SUM(D9,D16,D25,D33,D35,D37)</f>
        <v>-81171.400000000009</v>
      </c>
      <c r="E43" s="55">
        <f>SUM(E9,E16,E25,E33,E35,E37)</f>
        <v>-68632.5</v>
      </c>
      <c r="F43" s="83">
        <f t="shared" ref="F43" si="20">SUM(F9,F16,F25,F33,F35,F37)</f>
        <v>-81171.400000000009</v>
      </c>
      <c r="G43" s="83">
        <f t="shared" si="3"/>
        <v>-12538.900000000009</v>
      </c>
      <c r="H43" s="87">
        <f t="shared" si="4"/>
        <v>118.2696244490584</v>
      </c>
      <c r="I43" s="36"/>
      <c r="J43" s="36"/>
      <c r="K43" s="36"/>
      <c r="L43" s="36"/>
      <c r="M43" s="36"/>
      <c r="N43" s="36"/>
      <c r="O43" s="36"/>
    </row>
    <row r="44" spans="1:15" ht="21.95" customHeight="1">
      <c r="A44" s="293" t="s">
        <v>103</v>
      </c>
      <c r="B44" s="293"/>
      <c r="C44" s="293"/>
      <c r="D44" s="293"/>
      <c r="E44" s="293"/>
      <c r="F44" s="293"/>
      <c r="G44" s="293"/>
      <c r="H44" s="293"/>
      <c r="K44" s="67"/>
    </row>
    <row r="45" spans="1:15" ht="25.5" customHeight="1">
      <c r="A45" s="84" t="s">
        <v>50</v>
      </c>
      <c r="B45" s="123">
        <v>9000</v>
      </c>
      <c r="C45" s="24">
        <f>-C10-C17</f>
        <v>13917</v>
      </c>
      <c r="D45" s="24">
        <f>-D10-D17</f>
        <v>24758.7</v>
      </c>
      <c r="E45" s="24">
        <f>-E10-E17</f>
        <v>16596.7</v>
      </c>
      <c r="F45" s="24">
        <f>-F10-F17</f>
        <v>24758.7</v>
      </c>
      <c r="G45" s="24">
        <f t="shared" ref="G45:G50" si="21">F45-E45</f>
        <v>8162</v>
      </c>
      <c r="H45" s="24">
        <f t="shared" ref="H45:H50" si="22">(F45/E45)*100</f>
        <v>149.17845113787681</v>
      </c>
      <c r="I45" s="37"/>
      <c r="J45" s="37"/>
      <c r="K45" s="37"/>
      <c r="L45" s="37"/>
      <c r="M45" s="37"/>
    </row>
    <row r="46" spans="1:15" ht="27" customHeight="1">
      <c r="A46" s="84" t="s">
        <v>1</v>
      </c>
      <c r="B46" s="123">
        <v>9010</v>
      </c>
      <c r="C46" s="24">
        <f t="shared" ref="C46:F47" si="23">-C11-C18-C27</f>
        <v>31280.400000000001</v>
      </c>
      <c r="D46" s="24">
        <f t="shared" si="23"/>
        <v>39476.5</v>
      </c>
      <c r="E46" s="24">
        <f t="shared" si="23"/>
        <v>36121.599999999999</v>
      </c>
      <c r="F46" s="24">
        <f t="shared" si="23"/>
        <v>39476.5</v>
      </c>
      <c r="G46" s="24">
        <f t="shared" si="21"/>
        <v>3354.9000000000015</v>
      </c>
      <c r="H46" s="24">
        <f t="shared" si="22"/>
        <v>109.28779456059532</v>
      </c>
      <c r="I46" s="37"/>
      <c r="J46" s="37"/>
      <c r="K46" s="37"/>
      <c r="L46" s="37"/>
      <c r="M46" s="37"/>
    </row>
    <row r="47" spans="1:15" ht="24" customHeight="1">
      <c r="A47" s="84" t="s">
        <v>2</v>
      </c>
      <c r="B47" s="123">
        <v>9020</v>
      </c>
      <c r="C47" s="24">
        <f t="shared" si="23"/>
        <v>6755.9000000000005</v>
      </c>
      <c r="D47" s="24">
        <f t="shared" si="23"/>
        <v>8467.1999999999989</v>
      </c>
      <c r="E47" s="24">
        <f t="shared" si="23"/>
        <v>7790.7</v>
      </c>
      <c r="F47" s="24">
        <f t="shared" si="23"/>
        <v>8467.1999999999989</v>
      </c>
      <c r="G47" s="24">
        <f t="shared" si="21"/>
        <v>676.49999999999909</v>
      </c>
      <c r="H47" s="24">
        <f t="shared" si="22"/>
        <v>108.68343024375216</v>
      </c>
      <c r="I47" s="37"/>
      <c r="J47" s="37"/>
      <c r="K47" s="37"/>
      <c r="L47" s="37"/>
      <c r="M47" s="37"/>
    </row>
    <row r="48" spans="1:15" ht="24.75" customHeight="1">
      <c r="A48" s="84" t="s">
        <v>3</v>
      </c>
      <c r="B48" s="123">
        <v>9030</v>
      </c>
      <c r="C48" s="24">
        <f>-C13-C29</f>
        <v>4189.1000000000004</v>
      </c>
      <c r="D48" s="24">
        <f>-D13-D29</f>
        <v>7429.8</v>
      </c>
      <c r="E48" s="24">
        <f>-E13-E29</f>
        <v>7015</v>
      </c>
      <c r="F48" s="24">
        <f>-F13-F29</f>
        <v>7429.8</v>
      </c>
      <c r="G48" s="24">
        <f t="shared" si="21"/>
        <v>414.80000000000018</v>
      </c>
      <c r="H48" s="24">
        <f t="shared" si="22"/>
        <v>105.91304347826087</v>
      </c>
      <c r="I48" s="37"/>
      <c r="J48" s="37"/>
      <c r="K48" s="37"/>
      <c r="L48" s="37"/>
      <c r="M48" s="37"/>
    </row>
    <row r="49" spans="1:13" ht="24" customHeight="1">
      <c r="A49" s="84" t="s">
        <v>5</v>
      </c>
      <c r="B49" s="123">
        <v>9040</v>
      </c>
      <c r="C49" s="24">
        <f>-C30-C14-C21</f>
        <v>541.4</v>
      </c>
      <c r="D49" s="24">
        <f>-D30-D14-D21</f>
        <v>1039.1999999999998</v>
      </c>
      <c r="E49" s="24">
        <f>-E30-E14-E21</f>
        <v>1108.5</v>
      </c>
      <c r="F49" s="24">
        <f>-F30-F14-F21</f>
        <v>1039.1999999999998</v>
      </c>
      <c r="G49" s="24">
        <f t="shared" si="21"/>
        <v>-69.300000000000182</v>
      </c>
      <c r="H49" s="24">
        <f t="shared" si="22"/>
        <v>93.748308525033806</v>
      </c>
      <c r="I49" s="37"/>
      <c r="J49" s="37"/>
      <c r="K49" s="37"/>
      <c r="L49" s="37"/>
      <c r="M49" s="37"/>
    </row>
    <row r="50" spans="1:13" ht="21.95" customHeight="1">
      <c r="A50" s="89" t="s">
        <v>7</v>
      </c>
      <c r="B50" s="124">
        <v>9050</v>
      </c>
      <c r="C50" s="83">
        <f>SUM(C45:C49)</f>
        <v>56683.8</v>
      </c>
      <c r="D50" s="83">
        <f t="shared" ref="D50:F50" si="24">SUM(D45:D49)</f>
        <v>81171.399999999994</v>
      </c>
      <c r="E50" s="83">
        <f t="shared" ref="E50" si="25">SUM(E45:E49)</f>
        <v>68632.5</v>
      </c>
      <c r="F50" s="83">
        <f t="shared" si="24"/>
        <v>81171.399999999994</v>
      </c>
      <c r="G50" s="83">
        <f t="shared" si="21"/>
        <v>12538.899999999994</v>
      </c>
      <c r="H50" s="83">
        <f t="shared" si="22"/>
        <v>118.26962444905837</v>
      </c>
      <c r="I50" s="37"/>
      <c r="J50" s="37"/>
      <c r="K50" s="37"/>
      <c r="L50" s="37"/>
      <c r="M50" s="37"/>
    </row>
    <row r="51" spans="1:13" ht="21.95" customHeight="1">
      <c r="A51" s="286" t="s">
        <v>81</v>
      </c>
      <c r="B51" s="286"/>
      <c r="C51" s="286"/>
      <c r="D51" s="286"/>
      <c r="E51" s="286"/>
      <c r="F51" s="286"/>
      <c r="G51" s="286"/>
      <c r="H51" s="286"/>
      <c r="K51" s="37"/>
    </row>
    <row r="52" spans="1:13" ht="63" customHeight="1">
      <c r="A52" s="90" t="s">
        <v>213</v>
      </c>
      <c r="B52" s="82">
        <v>2110</v>
      </c>
      <c r="C52" s="83">
        <f t="shared" ref="C52:D52" si="26">SUM(C53:C56)</f>
        <v>-476.8</v>
      </c>
      <c r="D52" s="83">
        <f t="shared" si="26"/>
        <v>-607.20000000000005</v>
      </c>
      <c r="E52" s="83">
        <f t="shared" ref="E52:F52" si="27">SUM(E53:E56)</f>
        <v>-566.79999999999995</v>
      </c>
      <c r="F52" s="83">
        <f t="shared" si="27"/>
        <v>-607.20000000000005</v>
      </c>
      <c r="G52" s="83">
        <f>F52-E52</f>
        <v>-40.400000000000091</v>
      </c>
      <c r="H52" s="83">
        <f>(F52/E52)*100</f>
        <v>107.12773465067045</v>
      </c>
      <c r="I52" s="37"/>
      <c r="J52" s="37"/>
    </row>
    <row r="53" spans="1:13" ht="42" customHeight="1">
      <c r="A53" s="84" t="s">
        <v>47</v>
      </c>
      <c r="B53" s="122">
        <v>2111</v>
      </c>
      <c r="C53" s="23">
        <v>-3.7</v>
      </c>
      <c r="D53" s="197">
        <v>-11.2</v>
      </c>
      <c r="E53" s="23">
        <v>-25</v>
      </c>
      <c r="F53" s="197">
        <v>-11.2</v>
      </c>
      <c r="G53" s="24">
        <f t="shared" ref="G53:G68" si="28">F53-E53</f>
        <v>13.8</v>
      </c>
      <c r="H53" s="24">
        <f>(F53/E53)*100</f>
        <v>44.8</v>
      </c>
    </row>
    <row r="54" spans="1:13" ht="40.5" customHeight="1">
      <c r="A54" s="91" t="s">
        <v>48</v>
      </c>
      <c r="B54" s="122">
        <v>2112</v>
      </c>
      <c r="C54" s="24"/>
      <c r="D54" s="24"/>
      <c r="E54" s="24"/>
      <c r="F54" s="24"/>
      <c r="G54" s="24">
        <f t="shared" si="28"/>
        <v>0</v>
      </c>
      <c r="H54" s="85"/>
    </row>
    <row r="55" spans="1:13" ht="24.75" customHeight="1">
      <c r="A55" s="84" t="s">
        <v>55</v>
      </c>
      <c r="B55" s="122">
        <v>2113</v>
      </c>
      <c r="C55" s="23">
        <v>-473.1</v>
      </c>
      <c r="D55" s="23">
        <v>-596</v>
      </c>
      <c r="E55" s="23">
        <v>-541.79999999999995</v>
      </c>
      <c r="F55" s="23">
        <v>-596</v>
      </c>
      <c r="G55" s="24">
        <f t="shared" si="28"/>
        <v>-54.200000000000045</v>
      </c>
      <c r="H55" s="24">
        <f t="shared" ref="H55:H68" si="29">(F55/E55)*100</f>
        <v>110.00369139904025</v>
      </c>
    </row>
    <row r="56" spans="1:13" ht="24.75" customHeight="1">
      <c r="A56" s="84" t="s">
        <v>35</v>
      </c>
      <c r="B56" s="122">
        <v>2114</v>
      </c>
      <c r="C56" s="24"/>
      <c r="D56" s="24"/>
      <c r="E56" s="24"/>
      <c r="F56" s="24"/>
      <c r="G56" s="83">
        <f t="shared" si="28"/>
        <v>0</v>
      </c>
      <c r="H56" s="85"/>
    </row>
    <row r="57" spans="1:13" ht="41.25" customHeight="1">
      <c r="A57" s="92" t="s">
        <v>52</v>
      </c>
      <c r="B57" s="124">
        <v>2120</v>
      </c>
      <c r="C57" s="83">
        <f>SUM(C58:C63)</f>
        <v>-5679.1</v>
      </c>
      <c r="D57" s="83">
        <f>SUM(D58:D63)</f>
        <v>-7149.3</v>
      </c>
      <c r="E57" s="83">
        <f>SUM(E58:E63)</f>
        <v>-6501.9</v>
      </c>
      <c r="F57" s="83">
        <f>SUM(F58:F63)</f>
        <v>-7149.3</v>
      </c>
      <c r="G57" s="83">
        <f t="shared" si="28"/>
        <v>-647.40000000000055</v>
      </c>
      <c r="H57" s="83">
        <f t="shared" si="29"/>
        <v>109.95708946615605</v>
      </c>
    </row>
    <row r="58" spans="1:13" ht="27" customHeight="1">
      <c r="A58" s="91" t="s">
        <v>34</v>
      </c>
      <c r="B58" s="123">
        <v>2121</v>
      </c>
      <c r="C58" s="24"/>
      <c r="D58" s="24"/>
      <c r="E58" s="24"/>
      <c r="F58" s="24"/>
      <c r="G58" s="83">
        <f t="shared" si="28"/>
        <v>0</v>
      </c>
      <c r="H58" s="85"/>
    </row>
    <row r="59" spans="1:13" ht="27" customHeight="1">
      <c r="A59" s="84" t="s">
        <v>11</v>
      </c>
      <c r="B59" s="123">
        <v>2122</v>
      </c>
      <c r="C59" s="23">
        <v>-5679.1</v>
      </c>
      <c r="D59" s="23">
        <v>-7149.3</v>
      </c>
      <c r="E59" s="23">
        <v>-6501.9</v>
      </c>
      <c r="F59" s="23">
        <v>-7149.3</v>
      </c>
      <c r="G59" s="24">
        <f t="shared" si="28"/>
        <v>-647.40000000000055</v>
      </c>
      <c r="H59" s="24">
        <f t="shared" si="29"/>
        <v>109.95708946615605</v>
      </c>
    </row>
    <row r="60" spans="1:13" ht="21.95" customHeight="1">
      <c r="A60" s="84" t="s">
        <v>38</v>
      </c>
      <c r="B60" s="123">
        <v>2123</v>
      </c>
      <c r="C60" s="24"/>
      <c r="D60" s="24"/>
      <c r="E60" s="24"/>
      <c r="F60" s="24"/>
      <c r="G60" s="83">
        <f t="shared" si="28"/>
        <v>0</v>
      </c>
      <c r="H60" s="85"/>
    </row>
    <row r="61" spans="1:13" ht="25.5" customHeight="1">
      <c r="A61" s="84" t="s">
        <v>39</v>
      </c>
      <c r="B61" s="123">
        <v>2124</v>
      </c>
      <c r="C61" s="24"/>
      <c r="D61" s="24"/>
      <c r="E61" s="24"/>
      <c r="F61" s="24"/>
      <c r="G61" s="83">
        <f t="shared" si="28"/>
        <v>0</v>
      </c>
      <c r="H61" s="85"/>
    </row>
    <row r="62" spans="1:13" ht="80.25" customHeight="1">
      <c r="A62" s="84" t="s">
        <v>99</v>
      </c>
      <c r="B62" s="123">
        <v>2125</v>
      </c>
      <c r="C62" s="24"/>
      <c r="D62" s="24"/>
      <c r="E62" s="24"/>
      <c r="F62" s="24"/>
      <c r="G62" s="83">
        <f t="shared" si="28"/>
        <v>0</v>
      </c>
      <c r="H62" s="85"/>
    </row>
    <row r="63" spans="1:13" ht="22.5" customHeight="1">
      <c r="A63" s="84" t="s">
        <v>35</v>
      </c>
      <c r="B63" s="123">
        <v>2126</v>
      </c>
      <c r="C63" s="24"/>
      <c r="D63" s="24"/>
      <c r="E63" s="24"/>
      <c r="F63" s="24"/>
      <c r="G63" s="83">
        <f t="shared" si="28"/>
        <v>0</v>
      </c>
      <c r="H63" s="85"/>
    </row>
    <row r="64" spans="1:13" ht="44.25" customHeight="1">
      <c r="A64" s="90" t="s">
        <v>53</v>
      </c>
      <c r="B64" s="124">
        <v>2130</v>
      </c>
      <c r="C64" s="83">
        <f t="shared" ref="C64:D64" si="30">SUM(C65:C67)</f>
        <v>-7046.2</v>
      </c>
      <c r="D64" s="83">
        <f t="shared" si="30"/>
        <v>-8830.5</v>
      </c>
      <c r="E64" s="83">
        <f t="shared" ref="E64:F64" si="31">SUM(E65:E67)</f>
        <v>-8151.9</v>
      </c>
      <c r="F64" s="83">
        <f t="shared" si="31"/>
        <v>-8830.5</v>
      </c>
      <c r="G64" s="83">
        <f t="shared" si="28"/>
        <v>-678.60000000000036</v>
      </c>
      <c r="H64" s="83">
        <f t="shared" si="29"/>
        <v>108.32443970117396</v>
      </c>
    </row>
    <row r="65" spans="1:8" ht="24" customHeight="1">
      <c r="A65" s="84" t="s">
        <v>36</v>
      </c>
      <c r="B65" s="123">
        <v>2131</v>
      </c>
      <c r="C65" s="24"/>
      <c r="D65" s="24"/>
      <c r="E65" s="24"/>
      <c r="F65" s="24"/>
      <c r="G65" s="83">
        <f t="shared" si="28"/>
        <v>0</v>
      </c>
      <c r="H65" s="85"/>
    </row>
    <row r="66" spans="1:8" ht="41.25" customHeight="1">
      <c r="A66" s="84" t="s">
        <v>37</v>
      </c>
      <c r="B66" s="123">
        <v>2132</v>
      </c>
      <c r="C66" s="23">
        <v>-6755.9</v>
      </c>
      <c r="D66" s="23">
        <v>-8467.2000000000007</v>
      </c>
      <c r="E66" s="23">
        <v>-7790.7</v>
      </c>
      <c r="F66" s="23">
        <v>-8467.2000000000007</v>
      </c>
      <c r="G66" s="24">
        <f t="shared" si="28"/>
        <v>-676.50000000000091</v>
      </c>
      <c r="H66" s="24">
        <f t="shared" si="29"/>
        <v>108.68343024375218</v>
      </c>
    </row>
    <row r="67" spans="1:8" ht="39" customHeight="1">
      <c r="A67" s="84" t="s">
        <v>209</v>
      </c>
      <c r="B67" s="123">
        <v>2133</v>
      </c>
      <c r="C67" s="23">
        <v>-290.3</v>
      </c>
      <c r="D67" s="23">
        <v>-363.3</v>
      </c>
      <c r="E67" s="23">
        <v>-361.2</v>
      </c>
      <c r="F67" s="23">
        <v>-363.3</v>
      </c>
      <c r="G67" s="24">
        <f t="shared" si="28"/>
        <v>-2.1000000000000227</v>
      </c>
      <c r="H67" s="24">
        <f t="shared" si="29"/>
        <v>100.58139534883721</v>
      </c>
    </row>
    <row r="68" spans="1:8" ht="27" customHeight="1">
      <c r="A68" s="92" t="s">
        <v>49</v>
      </c>
      <c r="B68" s="124">
        <v>2200</v>
      </c>
      <c r="C68" s="83">
        <f>SUM(C52+C57+C64)</f>
        <v>-13202.1</v>
      </c>
      <c r="D68" s="83">
        <f>SUM(D52+D57+D64)</f>
        <v>-16587</v>
      </c>
      <c r="E68" s="83">
        <f>SUM(E52+E57+E64)</f>
        <v>-15220.599999999999</v>
      </c>
      <c r="F68" s="83">
        <f>SUM(F52+F57+F64)</f>
        <v>-16587</v>
      </c>
      <c r="G68" s="83">
        <f t="shared" si="28"/>
        <v>-1366.4000000000015</v>
      </c>
      <c r="H68" s="83">
        <f t="shared" si="29"/>
        <v>108.97730707068054</v>
      </c>
    </row>
    <row r="69" spans="1:8" ht="24" customHeight="1">
      <c r="A69" s="287" t="s">
        <v>82</v>
      </c>
      <c r="B69" s="288"/>
      <c r="C69" s="288"/>
      <c r="D69" s="288"/>
      <c r="E69" s="288"/>
      <c r="F69" s="288"/>
      <c r="G69" s="288"/>
      <c r="H69" s="289"/>
    </row>
    <row r="70" spans="1:8" ht="27.75" customHeight="1">
      <c r="A70" s="81" t="s">
        <v>16</v>
      </c>
      <c r="B70" s="82">
        <v>4000</v>
      </c>
      <c r="C70" s="83">
        <f>SUM(C71:C77)</f>
        <v>125204.1</v>
      </c>
      <c r="D70" s="83">
        <f>SUM(D71:D77)</f>
        <v>1512.1</v>
      </c>
      <c r="E70" s="83">
        <f>SUM(E71:E77)</f>
        <v>2749.9</v>
      </c>
      <c r="F70" s="83">
        <f>SUM(F71:F77)</f>
        <v>1512.1</v>
      </c>
      <c r="G70" s="83">
        <f>F70-E70</f>
        <v>-1237.8000000000002</v>
      </c>
      <c r="H70" s="106">
        <f>(F70/E70)*100</f>
        <v>54.987454089239606</v>
      </c>
    </row>
    <row r="71" spans="1:8" ht="30.75" customHeight="1">
      <c r="A71" s="84" t="s">
        <v>56</v>
      </c>
      <c r="B71" s="122">
        <v>4010</v>
      </c>
      <c r="C71" s="24"/>
      <c r="D71" s="24"/>
      <c r="E71" s="24"/>
      <c r="F71" s="24"/>
      <c r="G71" s="83">
        <f t="shared" ref="G71:G77" si="32">F71-E71</f>
        <v>0</v>
      </c>
      <c r="H71" s="24"/>
    </row>
    <row r="72" spans="1:8" ht="42.75" customHeight="1">
      <c r="A72" s="84" t="s">
        <v>231</v>
      </c>
      <c r="B72" s="122">
        <v>4020</v>
      </c>
      <c r="C72" s="24"/>
      <c r="D72" s="24">
        <v>385.6</v>
      </c>
      <c r="E72" s="24">
        <v>238</v>
      </c>
      <c r="F72" s="24">
        <f>D72</f>
        <v>385.6</v>
      </c>
      <c r="G72" s="105">
        <f t="shared" si="32"/>
        <v>147.60000000000002</v>
      </c>
      <c r="H72" s="105">
        <f t="shared" ref="H72" si="33">(F72/E72)*100</f>
        <v>162.01680672268907</v>
      </c>
    </row>
    <row r="73" spans="1:8" ht="57.75" customHeight="1">
      <c r="A73" s="84" t="s">
        <v>64</v>
      </c>
      <c r="B73" s="122">
        <v>4030</v>
      </c>
      <c r="C73" s="24"/>
      <c r="D73" s="24"/>
      <c r="E73" s="24"/>
      <c r="F73" s="24"/>
      <c r="G73" s="83">
        <f t="shared" si="32"/>
        <v>0</v>
      </c>
      <c r="H73" s="85"/>
    </row>
    <row r="74" spans="1:8" ht="42" customHeight="1">
      <c r="A74" s="84" t="s">
        <v>232</v>
      </c>
      <c r="B74" s="122">
        <v>4040</v>
      </c>
      <c r="C74" s="24"/>
      <c r="D74" s="24"/>
      <c r="E74" s="24"/>
      <c r="F74" s="24"/>
      <c r="G74" s="83">
        <f t="shared" si="32"/>
        <v>0</v>
      </c>
      <c r="H74" s="85"/>
    </row>
    <row r="75" spans="1:8" ht="61.5" customHeight="1">
      <c r="A75" s="84" t="s">
        <v>57</v>
      </c>
      <c r="B75" s="122">
        <v>4050</v>
      </c>
      <c r="C75" s="120">
        <v>125204.1</v>
      </c>
      <c r="D75" s="48"/>
      <c r="E75" s="24"/>
      <c r="F75" s="48"/>
      <c r="G75" s="83">
        <f t="shared" si="32"/>
        <v>0</v>
      </c>
      <c r="H75" s="85"/>
    </row>
    <row r="76" spans="1:8" ht="27.75" customHeight="1">
      <c r="A76" s="84" t="s">
        <v>58</v>
      </c>
      <c r="B76" s="122">
        <v>4060</v>
      </c>
      <c r="C76" s="24" t="s">
        <v>253</v>
      </c>
      <c r="D76" s="24">
        <v>1126.5</v>
      </c>
      <c r="E76" s="24">
        <v>2511.9</v>
      </c>
      <c r="F76" s="24">
        <f>D76</f>
        <v>1126.5</v>
      </c>
      <c r="G76" s="24" t="s">
        <v>253</v>
      </c>
      <c r="H76" s="85"/>
    </row>
    <row r="77" spans="1:8" ht="24.75" customHeight="1">
      <c r="A77" s="84" t="s">
        <v>44</v>
      </c>
      <c r="B77" s="122">
        <v>4070</v>
      </c>
      <c r="C77" s="24"/>
      <c r="D77" s="24"/>
      <c r="E77" s="24"/>
      <c r="F77" s="24"/>
      <c r="G77" s="83">
        <f t="shared" si="32"/>
        <v>0</v>
      </c>
      <c r="H77" s="85"/>
    </row>
    <row r="78" spans="1:8" ht="21.95" customHeight="1">
      <c r="A78" s="270" t="s">
        <v>83</v>
      </c>
      <c r="B78" s="271"/>
      <c r="C78" s="271"/>
      <c r="D78" s="271"/>
      <c r="E78" s="271"/>
      <c r="F78" s="271"/>
      <c r="G78" s="271"/>
      <c r="H78" s="272"/>
    </row>
    <row r="79" spans="1:8" ht="58.5" customHeight="1">
      <c r="A79" s="279" t="s">
        <v>20</v>
      </c>
      <c r="B79" s="275" t="s">
        <v>4</v>
      </c>
      <c r="C79" s="273" t="s">
        <v>102</v>
      </c>
      <c r="D79" s="274"/>
      <c r="E79" s="275" t="s">
        <v>265</v>
      </c>
      <c r="F79" s="275" t="s">
        <v>264</v>
      </c>
      <c r="G79" s="275" t="s">
        <v>92</v>
      </c>
      <c r="H79" s="277" t="s">
        <v>92</v>
      </c>
    </row>
    <row r="80" spans="1:8" ht="45" customHeight="1">
      <c r="A80" s="280"/>
      <c r="B80" s="276"/>
      <c r="C80" s="123" t="s">
        <v>221</v>
      </c>
      <c r="D80" s="123" t="s">
        <v>263</v>
      </c>
      <c r="E80" s="276"/>
      <c r="F80" s="276"/>
      <c r="G80" s="276"/>
      <c r="H80" s="278"/>
    </row>
    <row r="81" spans="1:10" s="72" customFormat="1" ht="83.25" customHeight="1">
      <c r="A81" s="92" t="s">
        <v>233</v>
      </c>
      <c r="B81" s="93" t="s">
        <v>26</v>
      </c>
      <c r="C81" s="56">
        <f t="shared" ref="C81" si="34">SUM(C82:C84)</f>
        <v>717</v>
      </c>
      <c r="D81" s="56">
        <f t="shared" ref="D81:E81" si="35">SUM(D82:D84)</f>
        <v>737</v>
      </c>
      <c r="E81" s="94">
        <f t="shared" si="35"/>
        <v>729</v>
      </c>
      <c r="F81" s="56">
        <f t="shared" ref="F81" si="36">SUM(F82:F84)</f>
        <v>737</v>
      </c>
      <c r="G81" s="94">
        <f>F81-E81</f>
        <v>8</v>
      </c>
      <c r="H81" s="83">
        <f>F81/E81*100</f>
        <v>101.09739368998629</v>
      </c>
      <c r="I81" s="64"/>
      <c r="J81" s="64"/>
    </row>
    <row r="82" spans="1:10" ht="21.95" customHeight="1">
      <c r="A82" s="86" t="s">
        <v>18</v>
      </c>
      <c r="B82" s="122" t="s">
        <v>27</v>
      </c>
      <c r="C82" s="23">
        <v>1</v>
      </c>
      <c r="D82" s="23">
        <v>1</v>
      </c>
      <c r="E82" s="132">
        <v>1</v>
      </c>
      <c r="F82" s="23">
        <v>1</v>
      </c>
      <c r="G82" s="24">
        <f t="shared" ref="G82:G96" si="37">F82-E82</f>
        <v>0</v>
      </c>
      <c r="H82" s="24">
        <f t="shared" ref="H82:H96" si="38">F82/E82*100</f>
        <v>100</v>
      </c>
    </row>
    <row r="83" spans="1:10" ht="21.95" customHeight="1">
      <c r="A83" s="86" t="s">
        <v>21</v>
      </c>
      <c r="B83" s="122" t="s">
        <v>28</v>
      </c>
      <c r="C83" s="23">
        <v>27</v>
      </c>
      <c r="D83" s="23">
        <v>27</v>
      </c>
      <c r="E83" s="132">
        <v>27</v>
      </c>
      <c r="F83" s="23">
        <v>27</v>
      </c>
      <c r="G83" s="24">
        <f t="shared" si="37"/>
        <v>0</v>
      </c>
      <c r="H83" s="24">
        <f t="shared" si="38"/>
        <v>100</v>
      </c>
    </row>
    <row r="84" spans="1:10" ht="21.95" customHeight="1">
      <c r="A84" s="86" t="s">
        <v>19</v>
      </c>
      <c r="B84" s="122" t="s">
        <v>29</v>
      </c>
      <c r="C84" s="23">
        <f>655+34</f>
        <v>689</v>
      </c>
      <c r="D84" s="23">
        <v>709</v>
      </c>
      <c r="E84" s="132">
        <v>701</v>
      </c>
      <c r="F84" s="23">
        <v>709</v>
      </c>
      <c r="G84" s="24">
        <f t="shared" si="37"/>
        <v>8</v>
      </c>
      <c r="H84" s="24">
        <f t="shared" si="38"/>
        <v>101.14122681883025</v>
      </c>
    </row>
    <row r="85" spans="1:10" ht="21.95" customHeight="1">
      <c r="A85" s="81" t="s">
        <v>65</v>
      </c>
      <c r="B85" s="82" t="s">
        <v>30</v>
      </c>
      <c r="C85" s="83">
        <f>SUM(C86:C88)</f>
        <v>31280.400000000001</v>
      </c>
      <c r="D85" s="83">
        <f>SUM(D86:D88)</f>
        <v>39476.5</v>
      </c>
      <c r="E85" s="83">
        <f t="shared" ref="E85" si="39">SUM(E86:E88)</f>
        <v>38013.599999999999</v>
      </c>
      <c r="F85" s="83">
        <f>SUM(F86:F88)</f>
        <v>39476.5</v>
      </c>
      <c r="G85" s="55">
        <f t="shared" si="37"/>
        <v>1462.9000000000015</v>
      </c>
      <c r="H85" s="83">
        <f t="shared" si="38"/>
        <v>103.8483595344824</v>
      </c>
    </row>
    <row r="86" spans="1:10" ht="21.95" customHeight="1">
      <c r="A86" s="86" t="s">
        <v>18</v>
      </c>
      <c r="B86" s="122">
        <v>8011</v>
      </c>
      <c r="C86" s="24">
        <v>129.6</v>
      </c>
      <c r="D86" s="24">
        <v>216.6</v>
      </c>
      <c r="E86" s="23">
        <v>175.5</v>
      </c>
      <c r="F86" s="24">
        <v>216.6</v>
      </c>
      <c r="G86" s="24">
        <f t="shared" si="37"/>
        <v>41.099999999999994</v>
      </c>
      <c r="H86" s="24">
        <f t="shared" si="38"/>
        <v>123.41880341880342</v>
      </c>
      <c r="I86" s="67"/>
      <c r="J86" s="67"/>
    </row>
    <row r="87" spans="1:10" ht="21.95" customHeight="1">
      <c r="A87" s="86" t="s">
        <v>21</v>
      </c>
      <c r="B87" s="122">
        <v>8012</v>
      </c>
      <c r="C87" s="23">
        <f>1802.7-26.3</f>
        <v>1776.4</v>
      </c>
      <c r="D87" s="23">
        <v>2573.5</v>
      </c>
      <c r="E87" s="23">
        <v>2199.5</v>
      </c>
      <c r="F87" s="23">
        <v>2573.5</v>
      </c>
      <c r="G87" s="24">
        <f t="shared" si="37"/>
        <v>374</v>
      </c>
      <c r="H87" s="24">
        <f t="shared" si="38"/>
        <v>117.00386451466242</v>
      </c>
    </row>
    <row r="88" spans="1:10" ht="21.95" customHeight="1">
      <c r="A88" s="86" t="s">
        <v>19</v>
      </c>
      <c r="B88" s="122">
        <v>8013</v>
      </c>
      <c r="C88" s="23">
        <v>29374.400000000001</v>
      </c>
      <c r="D88" s="23">
        <v>36686.400000000001</v>
      </c>
      <c r="E88" s="23">
        <v>35638.6</v>
      </c>
      <c r="F88" s="23">
        <v>36686.400000000001</v>
      </c>
      <c r="G88" s="24">
        <f t="shared" si="37"/>
        <v>1047.8000000000029</v>
      </c>
      <c r="H88" s="24">
        <f t="shared" si="38"/>
        <v>102.94007059761046</v>
      </c>
    </row>
    <row r="89" spans="1:10" ht="21.95" customHeight="1">
      <c r="A89" s="81" t="s">
        <v>1</v>
      </c>
      <c r="B89" s="82">
        <v>8020</v>
      </c>
      <c r="C89" s="55">
        <f t="shared" ref="C89:D89" si="40">SUM(C90:C92)</f>
        <v>31280.400000000001</v>
      </c>
      <c r="D89" s="55">
        <f t="shared" si="40"/>
        <v>39476.5</v>
      </c>
      <c r="E89" s="55">
        <f t="shared" ref="E89" si="41">SUM(E90:E92)</f>
        <v>38013.599999999999</v>
      </c>
      <c r="F89" s="55">
        <f t="shared" ref="F89" si="42">SUM(F90:F92)</f>
        <v>39476.5</v>
      </c>
      <c r="G89" s="83">
        <f t="shared" si="37"/>
        <v>1462.9000000000015</v>
      </c>
      <c r="H89" s="83">
        <f t="shared" si="38"/>
        <v>103.8483595344824</v>
      </c>
    </row>
    <row r="90" spans="1:10" ht="21.95" customHeight="1">
      <c r="A90" s="86" t="s">
        <v>18</v>
      </c>
      <c r="B90" s="122">
        <v>8021</v>
      </c>
      <c r="C90" s="24">
        <v>129.6</v>
      </c>
      <c r="D90" s="24">
        <v>216.6</v>
      </c>
      <c r="E90" s="23">
        <v>175.5</v>
      </c>
      <c r="F90" s="24">
        <v>216.6</v>
      </c>
      <c r="G90" s="24">
        <f t="shared" si="37"/>
        <v>41.099999999999994</v>
      </c>
      <c r="H90" s="24">
        <f t="shared" si="38"/>
        <v>123.41880341880342</v>
      </c>
    </row>
    <row r="91" spans="1:10" ht="21.95" customHeight="1">
      <c r="A91" s="86" t="s">
        <v>21</v>
      </c>
      <c r="B91" s="122">
        <v>8022</v>
      </c>
      <c r="C91" s="23">
        <v>1776.4</v>
      </c>
      <c r="D91" s="23">
        <v>2573.5</v>
      </c>
      <c r="E91" s="23">
        <v>2199.5</v>
      </c>
      <c r="F91" s="23">
        <v>2573.5</v>
      </c>
      <c r="G91" s="24">
        <f t="shared" si="37"/>
        <v>374</v>
      </c>
      <c r="H91" s="24">
        <f t="shared" si="38"/>
        <v>117.00386451466242</v>
      </c>
    </row>
    <row r="92" spans="1:10" ht="21.95" customHeight="1">
      <c r="A92" s="86" t="s">
        <v>19</v>
      </c>
      <c r="B92" s="122">
        <v>8023</v>
      </c>
      <c r="C92" s="23">
        <v>29374.400000000001</v>
      </c>
      <c r="D92" s="23">
        <v>36686.400000000001</v>
      </c>
      <c r="E92" s="23">
        <v>35638.6</v>
      </c>
      <c r="F92" s="23">
        <v>36686.400000000001</v>
      </c>
      <c r="G92" s="24">
        <f t="shared" si="37"/>
        <v>1047.8000000000029</v>
      </c>
      <c r="H92" s="24">
        <f t="shared" si="38"/>
        <v>102.94007059761046</v>
      </c>
    </row>
    <row r="93" spans="1:10" s="72" customFormat="1" ht="39.75" customHeight="1">
      <c r="A93" s="92" t="s">
        <v>43</v>
      </c>
      <c r="B93" s="93" t="s">
        <v>66</v>
      </c>
      <c r="C93" s="95">
        <f t="shared" ref="C93" si="43">(C89/C81)/3*1000</f>
        <v>14542.259414225944</v>
      </c>
      <c r="D93" s="95">
        <f t="shared" ref="D93:F96" si="44">(D89/D81)/3*1000</f>
        <v>17854.590682948892</v>
      </c>
      <c r="E93" s="95">
        <f t="shared" si="44"/>
        <v>17381.618655692731</v>
      </c>
      <c r="F93" s="95">
        <f t="shared" ref="F93" si="45">(F89/F81)/3*1000</f>
        <v>17854.590682948892</v>
      </c>
      <c r="G93" s="94">
        <f t="shared" si="37"/>
        <v>472.9720272561608</v>
      </c>
      <c r="H93" s="94">
        <f t="shared" si="38"/>
        <v>102.72110461416236</v>
      </c>
    </row>
    <row r="94" spans="1:10" ht="21.95" customHeight="1">
      <c r="A94" s="86" t="s">
        <v>18</v>
      </c>
      <c r="B94" s="122">
        <v>8031</v>
      </c>
      <c r="C94" s="63">
        <f t="shared" ref="C94:D94" si="46">(C90/C82)/3*1000</f>
        <v>43199.999999999993</v>
      </c>
      <c r="D94" s="63">
        <f t="shared" si="46"/>
        <v>72200</v>
      </c>
      <c r="E94" s="63">
        <f t="shared" si="44"/>
        <v>58500</v>
      </c>
      <c r="F94" s="63">
        <f t="shared" si="44"/>
        <v>72200</v>
      </c>
      <c r="G94" s="96">
        <f t="shared" si="37"/>
        <v>13700</v>
      </c>
      <c r="H94" s="96">
        <f t="shared" si="38"/>
        <v>123.41880341880342</v>
      </c>
    </row>
    <row r="95" spans="1:10" ht="21.95" customHeight="1">
      <c r="A95" s="86" t="s">
        <v>21</v>
      </c>
      <c r="B95" s="122">
        <v>8032</v>
      </c>
      <c r="C95" s="63">
        <f t="shared" ref="C95:D95" si="47">(C91/C83)/3*1000</f>
        <v>21930.864197530867</v>
      </c>
      <c r="D95" s="63">
        <f t="shared" si="47"/>
        <v>31771.604938271605</v>
      </c>
      <c r="E95" s="63">
        <f t="shared" si="44"/>
        <v>27154.320987654319</v>
      </c>
      <c r="F95" s="63">
        <f t="shared" si="44"/>
        <v>31771.604938271605</v>
      </c>
      <c r="G95" s="96">
        <f t="shared" si="37"/>
        <v>4617.2839506172859</v>
      </c>
      <c r="H95" s="96">
        <f t="shared" si="38"/>
        <v>117.00386451466242</v>
      </c>
    </row>
    <row r="96" spans="1:10" ht="21.95" customHeight="1">
      <c r="A96" s="86" t="s">
        <v>19</v>
      </c>
      <c r="B96" s="122">
        <v>8033</v>
      </c>
      <c r="C96" s="63">
        <f t="shared" ref="C96:D96" si="48">(C92/C84)/3*1000</f>
        <v>14211.127237542334</v>
      </c>
      <c r="D96" s="63">
        <f t="shared" si="48"/>
        <v>17247.954866008462</v>
      </c>
      <c r="E96" s="63">
        <f t="shared" si="44"/>
        <v>16946.552543984784</v>
      </c>
      <c r="F96" s="63">
        <f t="shared" si="44"/>
        <v>17247.954866008462</v>
      </c>
      <c r="G96" s="96">
        <f t="shared" si="37"/>
        <v>301.4023220236777</v>
      </c>
      <c r="H96" s="96">
        <f t="shared" si="38"/>
        <v>101.77854652880806</v>
      </c>
    </row>
    <row r="97" spans="1:8" s="72" customFormat="1" ht="126" customHeight="1">
      <c r="A97" s="97" t="s">
        <v>219</v>
      </c>
      <c r="B97" s="98"/>
      <c r="C97" s="104"/>
      <c r="D97" s="281"/>
      <c r="E97" s="281"/>
      <c r="F97" s="99"/>
      <c r="G97" s="269" t="s">
        <v>257</v>
      </c>
      <c r="H97" s="269"/>
    </row>
    <row r="98" spans="1:8" s="72" customFormat="1" ht="29.25" customHeight="1">
      <c r="A98" s="121" t="s">
        <v>8</v>
      </c>
      <c r="B98" s="100"/>
      <c r="D98" s="282" t="s">
        <v>9</v>
      </c>
      <c r="E98" s="282"/>
      <c r="F98" s="101"/>
      <c r="G98" s="268" t="s">
        <v>13</v>
      </c>
      <c r="H98" s="268"/>
    </row>
    <row r="99" spans="1:8" s="72" customFormat="1">
      <c r="A99" s="4"/>
      <c r="E99" s="1"/>
      <c r="F99" s="1"/>
      <c r="G99" s="1"/>
      <c r="H99" s="1"/>
    </row>
    <row r="100" spans="1:8" s="72" customFormat="1">
      <c r="A100" s="4"/>
      <c r="E100" s="1"/>
      <c r="F100" s="1"/>
      <c r="G100" s="1"/>
      <c r="H100" s="1"/>
    </row>
    <row r="101" spans="1:8" s="72" customFormat="1">
      <c r="A101" s="4"/>
      <c r="E101" s="1"/>
      <c r="F101" s="1"/>
      <c r="G101" s="1"/>
      <c r="H101" s="1"/>
    </row>
    <row r="102" spans="1:8" s="72" customFormat="1">
      <c r="A102" s="4"/>
      <c r="E102" s="1"/>
      <c r="F102" s="1"/>
      <c r="G102" s="1"/>
      <c r="H102" s="1"/>
    </row>
    <row r="103" spans="1:8" s="72" customFormat="1">
      <c r="A103" s="4"/>
      <c r="E103" s="1"/>
      <c r="F103" s="1"/>
      <c r="G103" s="1"/>
      <c r="H103" s="1"/>
    </row>
    <row r="104" spans="1:8" s="72" customFormat="1">
      <c r="A104" s="4"/>
      <c r="E104" s="1"/>
      <c r="F104" s="1"/>
      <c r="G104" s="1"/>
      <c r="H104" s="1"/>
    </row>
    <row r="105" spans="1:8" s="72" customFormat="1">
      <c r="A105" s="4"/>
      <c r="E105" s="1"/>
      <c r="F105" s="1"/>
      <c r="G105" s="1"/>
      <c r="H105" s="1"/>
    </row>
    <row r="106" spans="1:8" s="72" customFormat="1">
      <c r="A106" s="4"/>
      <c r="E106" s="1"/>
      <c r="F106" s="1"/>
      <c r="G106" s="1"/>
      <c r="H106" s="1"/>
    </row>
    <row r="107" spans="1:8" s="72" customFormat="1">
      <c r="A107" s="4"/>
      <c r="E107" s="1"/>
      <c r="F107" s="1"/>
      <c r="G107" s="1"/>
      <c r="H107" s="1"/>
    </row>
    <row r="108" spans="1:8" s="72" customFormat="1">
      <c r="A108" s="4"/>
      <c r="E108" s="1"/>
      <c r="F108" s="1"/>
      <c r="G108" s="1"/>
      <c r="H108" s="1"/>
    </row>
    <row r="109" spans="1:8" s="72" customFormat="1">
      <c r="A109" s="4"/>
      <c r="E109" s="1"/>
      <c r="F109" s="1"/>
      <c r="G109" s="1"/>
      <c r="H109" s="1"/>
    </row>
    <row r="110" spans="1:8" s="72" customFormat="1">
      <c r="A110" s="4"/>
      <c r="E110" s="1"/>
      <c r="F110" s="1"/>
      <c r="G110" s="1"/>
      <c r="H110" s="1"/>
    </row>
    <row r="111" spans="1:8" s="72" customFormat="1">
      <c r="A111" s="4"/>
      <c r="E111" s="1"/>
      <c r="F111" s="1"/>
      <c r="G111" s="1"/>
      <c r="H111" s="1"/>
    </row>
    <row r="112" spans="1:8" s="72" customFormat="1">
      <c r="A112" s="4"/>
      <c r="E112" s="1"/>
      <c r="F112" s="1"/>
      <c r="G112" s="1"/>
      <c r="H112" s="1"/>
    </row>
    <row r="113" spans="1:8" s="72" customFormat="1">
      <c r="A113" s="4"/>
      <c r="E113" s="1"/>
      <c r="F113" s="1"/>
      <c r="G113" s="1"/>
      <c r="H113" s="1"/>
    </row>
    <row r="114" spans="1:8" s="72" customFormat="1">
      <c r="A114" s="4"/>
      <c r="E114" s="1"/>
      <c r="F114" s="1"/>
      <c r="G114" s="1"/>
      <c r="H114" s="1"/>
    </row>
    <row r="115" spans="1:8" s="72" customFormat="1">
      <c r="A115" s="4"/>
      <c r="E115" s="1"/>
      <c r="F115" s="1"/>
      <c r="G115" s="1"/>
      <c r="H115" s="1"/>
    </row>
    <row r="116" spans="1:8" s="72" customFormat="1">
      <c r="A116" s="4"/>
      <c r="E116" s="1"/>
      <c r="F116" s="1"/>
      <c r="G116" s="1"/>
      <c r="H116" s="1"/>
    </row>
    <row r="117" spans="1:8" s="72" customFormat="1">
      <c r="A117" s="4"/>
      <c r="E117" s="1"/>
      <c r="F117" s="1"/>
      <c r="G117" s="1"/>
      <c r="H117" s="1"/>
    </row>
    <row r="118" spans="1:8" s="72" customFormat="1">
      <c r="A118" s="4"/>
      <c r="E118" s="1"/>
      <c r="F118" s="1"/>
      <c r="G118" s="1"/>
      <c r="H118" s="1"/>
    </row>
    <row r="119" spans="1:8" s="72" customFormat="1">
      <c r="A119" s="4"/>
      <c r="E119" s="1"/>
      <c r="F119" s="1"/>
      <c r="G119" s="1"/>
      <c r="H119" s="1"/>
    </row>
    <row r="120" spans="1:8" s="72" customFormat="1">
      <c r="A120" s="4"/>
      <c r="E120" s="1"/>
      <c r="F120" s="1"/>
      <c r="G120" s="1"/>
      <c r="H120" s="1"/>
    </row>
    <row r="121" spans="1:8" s="72" customFormat="1">
      <c r="A121" s="4"/>
      <c r="E121" s="1"/>
      <c r="F121" s="1"/>
      <c r="G121" s="1"/>
      <c r="H121" s="1"/>
    </row>
    <row r="122" spans="1:8" s="72" customFormat="1">
      <c r="A122" s="4"/>
      <c r="E122" s="1"/>
      <c r="F122" s="1"/>
      <c r="G122" s="1"/>
      <c r="H122" s="1"/>
    </row>
    <row r="123" spans="1:8" s="72" customFormat="1">
      <c r="A123" s="4"/>
      <c r="E123" s="1"/>
      <c r="F123" s="1"/>
      <c r="G123" s="1"/>
      <c r="H123" s="1"/>
    </row>
    <row r="124" spans="1:8" s="72" customFormat="1">
      <c r="A124" s="4"/>
      <c r="E124" s="1"/>
      <c r="F124" s="1"/>
      <c r="G124" s="1"/>
      <c r="H124" s="1"/>
    </row>
    <row r="125" spans="1:8" s="72" customFormat="1">
      <c r="A125" s="4"/>
      <c r="E125" s="1"/>
      <c r="F125" s="1"/>
      <c r="G125" s="1"/>
      <c r="H125" s="1"/>
    </row>
    <row r="126" spans="1:8" s="72" customFormat="1">
      <c r="A126" s="4"/>
      <c r="E126" s="1"/>
      <c r="F126" s="1"/>
      <c r="G126" s="1"/>
      <c r="H126" s="1"/>
    </row>
    <row r="127" spans="1:8" s="72" customFormat="1">
      <c r="A127" s="4"/>
      <c r="E127" s="1"/>
      <c r="F127" s="1"/>
      <c r="G127" s="1"/>
      <c r="H127" s="1"/>
    </row>
    <row r="128" spans="1:8" s="72" customFormat="1">
      <c r="A128" s="4"/>
      <c r="E128" s="1"/>
      <c r="F128" s="1"/>
      <c r="G128" s="1"/>
      <c r="H128" s="1"/>
    </row>
    <row r="129" spans="1:8" s="72" customFormat="1">
      <c r="A129" s="4"/>
      <c r="E129" s="1"/>
      <c r="F129" s="1"/>
      <c r="G129" s="1"/>
      <c r="H129" s="1"/>
    </row>
    <row r="130" spans="1:8" s="72" customFormat="1">
      <c r="A130" s="4"/>
      <c r="E130" s="1"/>
      <c r="F130" s="1"/>
      <c r="G130" s="1"/>
      <c r="H130" s="1"/>
    </row>
    <row r="131" spans="1:8" s="72" customFormat="1">
      <c r="A131" s="4"/>
      <c r="E131" s="1"/>
      <c r="F131" s="1"/>
      <c r="G131" s="1"/>
      <c r="H131" s="1"/>
    </row>
    <row r="132" spans="1:8" s="72" customFormat="1">
      <c r="A132" s="4"/>
      <c r="E132" s="1"/>
      <c r="F132" s="1"/>
      <c r="G132" s="1"/>
      <c r="H132" s="1"/>
    </row>
    <row r="133" spans="1:8" s="72" customFormat="1">
      <c r="A133" s="4"/>
      <c r="E133" s="1"/>
      <c r="F133" s="1"/>
      <c r="G133" s="1"/>
      <c r="H133" s="1"/>
    </row>
    <row r="134" spans="1:8" s="72" customFormat="1">
      <c r="A134" s="4"/>
      <c r="E134" s="1"/>
      <c r="F134" s="1"/>
      <c r="G134" s="1"/>
      <c r="H134" s="1"/>
    </row>
    <row r="135" spans="1:8" s="72" customFormat="1">
      <c r="A135" s="4"/>
      <c r="E135" s="1"/>
      <c r="F135" s="1"/>
      <c r="G135" s="1"/>
      <c r="H135" s="1"/>
    </row>
    <row r="136" spans="1:8" s="72" customFormat="1">
      <c r="A136" s="4"/>
      <c r="E136" s="1"/>
      <c r="F136" s="1"/>
      <c r="G136" s="1"/>
      <c r="H136" s="1"/>
    </row>
    <row r="137" spans="1:8" s="72" customFormat="1">
      <c r="A137" s="4"/>
      <c r="E137" s="1"/>
      <c r="F137" s="1"/>
      <c r="G137" s="1"/>
      <c r="H137" s="1"/>
    </row>
    <row r="138" spans="1:8" s="72" customFormat="1">
      <c r="A138" s="4"/>
      <c r="E138" s="1"/>
      <c r="F138" s="1"/>
      <c r="G138" s="1"/>
      <c r="H138" s="1"/>
    </row>
    <row r="139" spans="1:8" s="72" customFormat="1">
      <c r="A139" s="4"/>
      <c r="E139" s="1"/>
      <c r="F139" s="1"/>
      <c r="G139" s="1"/>
      <c r="H139" s="1"/>
    </row>
    <row r="140" spans="1:8" s="72" customFormat="1">
      <c r="A140" s="4"/>
      <c r="E140" s="1"/>
      <c r="F140" s="1"/>
      <c r="G140" s="1"/>
      <c r="H140" s="1"/>
    </row>
    <row r="141" spans="1:8" s="72" customFormat="1">
      <c r="A141" s="4"/>
      <c r="E141" s="1"/>
      <c r="F141" s="1"/>
      <c r="G141" s="1"/>
      <c r="H141" s="1"/>
    </row>
    <row r="142" spans="1:8" s="72" customFormat="1">
      <c r="A142" s="4"/>
      <c r="E142" s="1"/>
      <c r="F142" s="1"/>
      <c r="G142" s="1"/>
      <c r="H142" s="1"/>
    </row>
    <row r="143" spans="1:8" s="72" customFormat="1">
      <c r="A143" s="4"/>
      <c r="E143" s="1"/>
      <c r="F143" s="1"/>
      <c r="G143" s="1"/>
      <c r="H143" s="1"/>
    </row>
    <row r="144" spans="1:8" s="72" customFormat="1">
      <c r="A144" s="4"/>
      <c r="E144" s="1"/>
      <c r="F144" s="1"/>
      <c r="G144" s="1"/>
      <c r="H144" s="1"/>
    </row>
    <row r="145" spans="1:8" s="72" customFormat="1">
      <c r="A145" s="4"/>
      <c r="E145" s="1"/>
      <c r="F145" s="1"/>
      <c r="G145" s="1"/>
      <c r="H145" s="1"/>
    </row>
    <row r="146" spans="1:8" s="72" customFormat="1">
      <c r="A146" s="4"/>
      <c r="E146" s="1"/>
      <c r="F146" s="1"/>
      <c r="G146" s="1"/>
      <c r="H146" s="1"/>
    </row>
    <row r="147" spans="1:8" s="72" customFormat="1">
      <c r="A147" s="4"/>
      <c r="E147" s="1"/>
      <c r="F147" s="1"/>
      <c r="G147" s="1"/>
      <c r="H147" s="1"/>
    </row>
    <row r="148" spans="1:8" s="72" customFormat="1">
      <c r="A148" s="4"/>
      <c r="E148" s="1"/>
      <c r="F148" s="1"/>
      <c r="G148" s="1"/>
      <c r="H148" s="1"/>
    </row>
    <row r="149" spans="1:8" s="72" customFormat="1">
      <c r="A149" s="4"/>
      <c r="E149" s="1"/>
      <c r="F149" s="1"/>
      <c r="G149" s="1"/>
      <c r="H149" s="1"/>
    </row>
    <row r="150" spans="1:8" s="72" customFormat="1">
      <c r="A150" s="4"/>
      <c r="E150" s="1"/>
      <c r="F150" s="1"/>
      <c r="G150" s="1"/>
      <c r="H150" s="1"/>
    </row>
    <row r="151" spans="1:8" s="72" customFormat="1">
      <c r="A151" s="4"/>
      <c r="E151" s="1"/>
      <c r="F151" s="1"/>
      <c r="G151" s="1"/>
      <c r="H151" s="1"/>
    </row>
    <row r="152" spans="1:8" s="72" customFormat="1">
      <c r="A152" s="4"/>
      <c r="E152" s="1"/>
      <c r="F152" s="1"/>
      <c r="G152" s="1"/>
      <c r="H152" s="1"/>
    </row>
    <row r="153" spans="1:8" s="72" customFormat="1">
      <c r="A153" s="4"/>
      <c r="E153" s="1"/>
      <c r="F153" s="1"/>
      <c r="G153" s="1"/>
      <c r="H153" s="1"/>
    </row>
    <row r="154" spans="1:8" s="72" customFormat="1">
      <c r="A154" s="4"/>
      <c r="E154" s="1"/>
      <c r="F154" s="1"/>
      <c r="G154" s="1"/>
      <c r="H154" s="1"/>
    </row>
    <row r="155" spans="1:8" s="72" customFormat="1">
      <c r="A155" s="4"/>
      <c r="E155" s="1"/>
      <c r="F155" s="1"/>
      <c r="G155" s="1"/>
      <c r="H155" s="1"/>
    </row>
    <row r="156" spans="1:8" s="72" customFormat="1">
      <c r="A156" s="4"/>
      <c r="E156" s="1"/>
      <c r="F156" s="1"/>
      <c r="G156" s="1"/>
      <c r="H156" s="1"/>
    </row>
    <row r="157" spans="1:8" s="72" customFormat="1">
      <c r="A157" s="4"/>
      <c r="E157" s="1"/>
      <c r="F157" s="1"/>
      <c r="G157" s="1"/>
      <c r="H157" s="1"/>
    </row>
    <row r="158" spans="1:8" s="72" customFormat="1">
      <c r="A158" s="4"/>
      <c r="E158" s="1"/>
      <c r="F158" s="1"/>
      <c r="G158" s="1"/>
      <c r="H158" s="1"/>
    </row>
    <row r="159" spans="1:8" s="72" customFormat="1">
      <c r="A159" s="4"/>
      <c r="E159" s="1"/>
      <c r="F159" s="1"/>
      <c r="G159" s="1"/>
      <c r="H159" s="1"/>
    </row>
    <row r="160" spans="1:8" s="72" customFormat="1">
      <c r="A160" s="4"/>
      <c r="E160" s="1"/>
      <c r="F160" s="1"/>
      <c r="G160" s="1"/>
      <c r="H160" s="1"/>
    </row>
    <row r="161" spans="1:8" s="72" customFormat="1">
      <c r="A161" s="4"/>
      <c r="E161" s="1"/>
      <c r="F161" s="1"/>
      <c r="G161" s="1"/>
      <c r="H161" s="1"/>
    </row>
    <row r="162" spans="1:8" s="72" customFormat="1">
      <c r="A162" s="4"/>
      <c r="E162" s="1"/>
      <c r="F162" s="1"/>
      <c r="G162" s="1"/>
      <c r="H162" s="1"/>
    </row>
    <row r="163" spans="1:8" s="72" customFormat="1">
      <c r="A163" s="4"/>
      <c r="E163" s="1"/>
      <c r="F163" s="1"/>
      <c r="G163" s="1"/>
      <c r="H163" s="1"/>
    </row>
    <row r="164" spans="1:8" s="72" customFormat="1">
      <c r="A164" s="4"/>
      <c r="E164" s="1"/>
      <c r="F164" s="1"/>
      <c r="G164" s="1"/>
      <c r="H164" s="1"/>
    </row>
    <row r="165" spans="1:8" s="72" customFormat="1">
      <c r="A165" s="4"/>
      <c r="E165" s="1"/>
      <c r="F165" s="1"/>
      <c r="G165" s="1"/>
      <c r="H165" s="1"/>
    </row>
    <row r="166" spans="1:8" s="72" customFormat="1">
      <c r="A166" s="4"/>
      <c r="E166" s="1"/>
      <c r="F166" s="1"/>
      <c r="G166" s="1"/>
      <c r="H166" s="1"/>
    </row>
    <row r="167" spans="1:8" s="72" customFormat="1">
      <c r="A167" s="4"/>
      <c r="E167" s="1"/>
      <c r="F167" s="1"/>
      <c r="G167" s="1"/>
      <c r="H167" s="1"/>
    </row>
    <row r="168" spans="1:8" s="72" customFormat="1">
      <c r="A168" s="4"/>
      <c r="E168" s="1"/>
      <c r="F168" s="1"/>
      <c r="G168" s="1"/>
      <c r="H168" s="1"/>
    </row>
    <row r="169" spans="1:8" s="72" customFormat="1">
      <c r="A169" s="4"/>
      <c r="E169" s="1"/>
      <c r="F169" s="1"/>
      <c r="G169" s="1"/>
      <c r="H169" s="1"/>
    </row>
    <row r="170" spans="1:8" s="72" customFormat="1">
      <c r="A170" s="4"/>
      <c r="E170" s="1"/>
      <c r="F170" s="1"/>
      <c r="G170" s="1"/>
      <c r="H170" s="1"/>
    </row>
    <row r="171" spans="1:8" s="72" customFormat="1">
      <c r="A171" s="4"/>
      <c r="E171" s="1"/>
      <c r="F171" s="1"/>
      <c r="G171" s="1"/>
      <c r="H171" s="1"/>
    </row>
    <row r="172" spans="1:8" s="72" customFormat="1">
      <c r="A172" s="4"/>
      <c r="E172" s="1"/>
      <c r="F172" s="1"/>
      <c r="G172" s="1"/>
      <c r="H172" s="1"/>
    </row>
    <row r="173" spans="1:8" s="72" customFormat="1">
      <c r="A173" s="4"/>
      <c r="E173" s="1"/>
      <c r="F173" s="1"/>
      <c r="G173" s="1"/>
      <c r="H173" s="1"/>
    </row>
    <row r="174" spans="1:8" s="72" customFormat="1">
      <c r="A174" s="4"/>
      <c r="E174" s="1"/>
      <c r="F174" s="1"/>
      <c r="G174" s="1"/>
      <c r="H174" s="1"/>
    </row>
    <row r="175" spans="1:8" s="72" customFormat="1">
      <c r="A175" s="4"/>
      <c r="E175" s="1"/>
      <c r="F175" s="1"/>
      <c r="G175" s="1"/>
      <c r="H175" s="1"/>
    </row>
    <row r="176" spans="1:8" s="72" customFormat="1">
      <c r="A176" s="4"/>
      <c r="E176" s="1"/>
      <c r="F176" s="1"/>
      <c r="G176" s="1"/>
      <c r="H176" s="1"/>
    </row>
    <row r="177" spans="1:8" s="72" customFormat="1">
      <c r="A177" s="4"/>
      <c r="E177" s="1"/>
      <c r="F177" s="1"/>
      <c r="G177" s="1"/>
      <c r="H177" s="1"/>
    </row>
    <row r="178" spans="1:8" s="72" customFormat="1">
      <c r="A178" s="4"/>
      <c r="E178" s="1"/>
      <c r="F178" s="1"/>
      <c r="G178" s="1"/>
      <c r="H178" s="1"/>
    </row>
    <row r="179" spans="1:8" s="72" customFormat="1">
      <c r="A179" s="4"/>
      <c r="E179" s="1"/>
      <c r="F179" s="1"/>
      <c r="G179" s="1"/>
      <c r="H179" s="1"/>
    </row>
    <row r="180" spans="1:8" s="72" customFormat="1">
      <c r="A180" s="4"/>
      <c r="E180" s="1"/>
      <c r="F180" s="1"/>
      <c r="G180" s="1"/>
      <c r="H180" s="1"/>
    </row>
    <row r="181" spans="1:8" s="72" customFormat="1">
      <c r="A181" s="4"/>
      <c r="E181" s="1"/>
      <c r="F181" s="1"/>
      <c r="G181" s="1"/>
      <c r="H181" s="1"/>
    </row>
    <row r="182" spans="1:8" s="72" customFormat="1">
      <c r="A182" s="4"/>
      <c r="E182" s="1"/>
      <c r="F182" s="1"/>
      <c r="G182" s="1"/>
      <c r="H182" s="1"/>
    </row>
    <row r="183" spans="1:8" s="72" customFormat="1">
      <c r="A183" s="4"/>
      <c r="E183" s="1"/>
      <c r="F183" s="1"/>
      <c r="G183" s="1"/>
      <c r="H183" s="1"/>
    </row>
    <row r="184" spans="1:8" s="72" customFormat="1">
      <c r="A184" s="4"/>
      <c r="E184" s="1"/>
      <c r="F184" s="1"/>
      <c r="G184" s="1"/>
      <c r="H184" s="1"/>
    </row>
    <row r="185" spans="1:8" s="72" customFormat="1">
      <c r="A185" s="4"/>
      <c r="E185" s="1"/>
      <c r="F185" s="1"/>
      <c r="G185" s="1"/>
      <c r="H185" s="1"/>
    </row>
    <row r="186" spans="1:8" s="72" customFormat="1">
      <c r="A186" s="4"/>
      <c r="E186" s="1"/>
      <c r="F186" s="1"/>
      <c r="G186" s="1"/>
      <c r="H186" s="1"/>
    </row>
    <row r="187" spans="1:8" s="72" customFormat="1">
      <c r="A187" s="4"/>
      <c r="E187" s="1"/>
      <c r="F187" s="1"/>
      <c r="G187" s="1"/>
      <c r="H187" s="1"/>
    </row>
    <row r="188" spans="1:8" s="72" customFormat="1">
      <c r="A188" s="4"/>
      <c r="E188" s="1"/>
      <c r="F188" s="1"/>
      <c r="G188" s="1"/>
      <c r="H188" s="1"/>
    </row>
    <row r="189" spans="1:8" s="72" customFormat="1">
      <c r="A189" s="4"/>
      <c r="E189" s="1"/>
      <c r="F189" s="1"/>
      <c r="G189" s="1"/>
      <c r="H189" s="1"/>
    </row>
    <row r="190" spans="1:8" s="72" customFormat="1">
      <c r="A190" s="4"/>
      <c r="E190" s="1"/>
      <c r="F190" s="1"/>
      <c r="G190" s="1"/>
      <c r="H190" s="1"/>
    </row>
    <row r="191" spans="1:8" s="72" customFormat="1">
      <c r="A191" s="4"/>
      <c r="E191" s="1"/>
      <c r="F191" s="1"/>
      <c r="G191" s="1"/>
      <c r="H191" s="1"/>
    </row>
    <row r="192" spans="1:8" s="72" customFormat="1">
      <c r="A192" s="4"/>
      <c r="E192" s="1"/>
      <c r="F192" s="1"/>
      <c r="G192" s="1"/>
      <c r="H192" s="1"/>
    </row>
    <row r="193" spans="1:8" s="72" customFormat="1">
      <c r="A193" s="4"/>
      <c r="E193" s="1"/>
      <c r="F193" s="1"/>
      <c r="G193" s="1"/>
      <c r="H193" s="1"/>
    </row>
    <row r="194" spans="1:8" s="72" customFormat="1">
      <c r="A194" s="4"/>
      <c r="E194" s="1"/>
      <c r="F194" s="1"/>
      <c r="G194" s="1"/>
      <c r="H194" s="1"/>
    </row>
    <row r="195" spans="1:8" s="72" customFormat="1">
      <c r="A195" s="4"/>
      <c r="E195" s="1"/>
      <c r="F195" s="1"/>
      <c r="G195" s="1"/>
      <c r="H195" s="1"/>
    </row>
    <row r="196" spans="1:8" s="72" customFormat="1">
      <c r="A196" s="4"/>
      <c r="E196" s="1"/>
      <c r="F196" s="1"/>
      <c r="G196" s="1"/>
      <c r="H196" s="1"/>
    </row>
    <row r="197" spans="1:8" s="72" customFormat="1">
      <c r="A197" s="4"/>
      <c r="E197" s="1"/>
      <c r="F197" s="1"/>
      <c r="G197" s="1"/>
      <c r="H197" s="1"/>
    </row>
    <row r="198" spans="1:8" s="72" customFormat="1">
      <c r="A198" s="4"/>
      <c r="E198" s="1"/>
      <c r="F198" s="1"/>
      <c r="G198" s="1"/>
      <c r="H198" s="1"/>
    </row>
    <row r="199" spans="1:8" s="72" customFormat="1">
      <c r="A199" s="4"/>
      <c r="E199" s="1"/>
      <c r="F199" s="1"/>
      <c r="G199" s="1"/>
      <c r="H199" s="1"/>
    </row>
    <row r="200" spans="1:8" s="72" customFormat="1">
      <c r="A200" s="4"/>
      <c r="E200" s="1"/>
      <c r="F200" s="1"/>
      <c r="G200" s="1"/>
      <c r="H200" s="1"/>
    </row>
    <row r="201" spans="1:8" s="72" customFormat="1">
      <c r="A201" s="4"/>
      <c r="E201" s="1"/>
      <c r="F201" s="1"/>
      <c r="G201" s="1"/>
      <c r="H201" s="1"/>
    </row>
    <row r="202" spans="1:8" s="72" customFormat="1">
      <c r="A202" s="4"/>
      <c r="E202" s="1"/>
      <c r="F202" s="1"/>
      <c r="G202" s="1"/>
      <c r="H202" s="1"/>
    </row>
    <row r="203" spans="1:8" s="72" customFormat="1">
      <c r="A203" s="4"/>
      <c r="E203" s="1"/>
      <c r="F203" s="1"/>
      <c r="G203" s="1"/>
      <c r="H203" s="1"/>
    </row>
    <row r="204" spans="1:8" s="72" customFormat="1">
      <c r="A204" s="4"/>
      <c r="E204" s="1"/>
      <c r="F204" s="1"/>
      <c r="G204" s="1"/>
      <c r="H204" s="1"/>
    </row>
    <row r="205" spans="1:8" s="72" customFormat="1">
      <c r="A205" s="4"/>
      <c r="E205" s="1"/>
      <c r="F205" s="1"/>
      <c r="G205" s="1"/>
      <c r="H205" s="1"/>
    </row>
    <row r="206" spans="1:8" s="72" customFormat="1">
      <c r="A206" s="4"/>
      <c r="E206" s="1"/>
      <c r="F206" s="1"/>
      <c r="G206" s="1"/>
      <c r="H206" s="1"/>
    </row>
    <row r="207" spans="1:8" s="72" customFormat="1">
      <c r="A207" s="4"/>
      <c r="E207" s="1"/>
      <c r="F207" s="1"/>
      <c r="G207" s="1"/>
      <c r="H207" s="1"/>
    </row>
    <row r="208" spans="1:8" s="72" customFormat="1">
      <c r="A208" s="4"/>
      <c r="E208" s="1"/>
      <c r="F208" s="1"/>
      <c r="G208" s="1"/>
      <c r="H208" s="1"/>
    </row>
    <row r="209" spans="1:8" s="72" customFormat="1">
      <c r="A209" s="4"/>
      <c r="E209" s="1"/>
      <c r="F209" s="1"/>
      <c r="G209" s="1"/>
      <c r="H209" s="1"/>
    </row>
    <row r="210" spans="1:8" s="72" customFormat="1">
      <c r="A210" s="4"/>
      <c r="E210" s="1"/>
      <c r="F210" s="1"/>
      <c r="G210" s="1"/>
      <c r="H210" s="1"/>
    </row>
    <row r="211" spans="1:8" s="72" customFormat="1">
      <c r="A211" s="4"/>
      <c r="E211" s="1"/>
      <c r="F211" s="1"/>
      <c r="G211" s="1"/>
      <c r="H211" s="1"/>
    </row>
    <row r="212" spans="1:8" s="72" customFormat="1">
      <c r="A212" s="4"/>
      <c r="E212" s="1"/>
      <c r="F212" s="1"/>
      <c r="G212" s="1"/>
      <c r="H212" s="1"/>
    </row>
    <row r="213" spans="1:8" s="72" customFormat="1">
      <c r="A213" s="4"/>
      <c r="E213" s="1"/>
      <c r="F213" s="1"/>
      <c r="G213" s="1"/>
      <c r="H213" s="1"/>
    </row>
    <row r="214" spans="1:8" s="72" customFormat="1">
      <c r="A214" s="4"/>
      <c r="E214" s="1"/>
      <c r="F214" s="1"/>
      <c r="G214" s="1"/>
      <c r="H214" s="1"/>
    </row>
    <row r="215" spans="1:8" s="72" customFormat="1">
      <c r="A215" s="4"/>
      <c r="E215" s="1"/>
      <c r="F215" s="1"/>
      <c r="G215" s="1"/>
      <c r="H215" s="1"/>
    </row>
    <row r="216" spans="1:8" s="72" customFormat="1">
      <c r="A216" s="4"/>
      <c r="E216" s="1"/>
      <c r="F216" s="1"/>
      <c r="G216" s="1"/>
      <c r="H216" s="1"/>
    </row>
    <row r="217" spans="1:8" s="72" customFormat="1">
      <c r="A217" s="4"/>
      <c r="E217" s="1"/>
      <c r="F217" s="1"/>
      <c r="G217" s="1"/>
      <c r="H217" s="1"/>
    </row>
    <row r="218" spans="1:8" s="72" customFormat="1">
      <c r="A218" s="4"/>
      <c r="E218" s="1"/>
      <c r="F218" s="1"/>
      <c r="G218" s="1"/>
      <c r="H218" s="1"/>
    </row>
    <row r="219" spans="1:8" s="72" customFormat="1">
      <c r="A219" s="4"/>
      <c r="E219" s="1"/>
      <c r="F219" s="1"/>
      <c r="G219" s="1"/>
      <c r="H219" s="1"/>
    </row>
    <row r="220" spans="1:8" s="72" customFormat="1">
      <c r="A220" s="4"/>
      <c r="E220" s="1"/>
      <c r="F220" s="1"/>
      <c r="G220" s="1"/>
      <c r="H220" s="1"/>
    </row>
    <row r="221" spans="1:8" s="72" customFormat="1">
      <c r="A221" s="4"/>
      <c r="E221" s="1"/>
      <c r="F221" s="1"/>
      <c r="G221" s="1"/>
      <c r="H221" s="1"/>
    </row>
    <row r="222" spans="1:8" s="72" customFormat="1">
      <c r="A222" s="4"/>
      <c r="E222" s="1"/>
      <c r="F222" s="1"/>
      <c r="G222" s="1"/>
      <c r="H222" s="1"/>
    </row>
    <row r="223" spans="1:8" s="72" customFormat="1">
      <c r="A223" s="4"/>
      <c r="E223" s="1"/>
      <c r="F223" s="1"/>
      <c r="G223" s="1"/>
      <c r="H223" s="1"/>
    </row>
    <row r="224" spans="1:8" s="72" customFormat="1">
      <c r="A224" s="4"/>
      <c r="E224" s="1"/>
      <c r="F224" s="1"/>
      <c r="G224" s="1"/>
      <c r="H224" s="1"/>
    </row>
    <row r="225" spans="1:8" s="72" customFormat="1">
      <c r="A225" s="4"/>
      <c r="E225" s="1"/>
      <c r="F225" s="1"/>
      <c r="G225" s="1"/>
      <c r="H225" s="1"/>
    </row>
    <row r="226" spans="1:8" s="72" customFormat="1">
      <c r="A226" s="4"/>
      <c r="E226" s="1"/>
      <c r="F226" s="1"/>
      <c r="G226" s="1"/>
      <c r="H226" s="1"/>
    </row>
    <row r="227" spans="1:8" s="72" customFormat="1">
      <c r="A227" s="4"/>
      <c r="E227" s="1"/>
      <c r="F227" s="1"/>
      <c r="G227" s="1"/>
      <c r="H227" s="1"/>
    </row>
    <row r="228" spans="1:8" s="72" customFormat="1">
      <c r="A228" s="4"/>
      <c r="E228" s="1"/>
      <c r="F228" s="1"/>
      <c r="G228" s="1"/>
      <c r="H228" s="1"/>
    </row>
    <row r="229" spans="1:8" s="72" customFormat="1">
      <c r="A229" s="4"/>
      <c r="E229" s="1"/>
      <c r="F229" s="1"/>
      <c r="G229" s="1"/>
      <c r="H229" s="1"/>
    </row>
    <row r="230" spans="1:8" s="72" customFormat="1">
      <c r="A230" s="4"/>
      <c r="E230" s="1"/>
      <c r="F230" s="1"/>
      <c r="G230" s="1"/>
      <c r="H230" s="1"/>
    </row>
    <row r="231" spans="1:8" s="72" customFormat="1">
      <c r="A231" s="4"/>
      <c r="E231" s="1"/>
      <c r="F231" s="1"/>
      <c r="G231" s="1"/>
      <c r="H231" s="1"/>
    </row>
    <row r="232" spans="1:8" s="72" customFormat="1">
      <c r="A232" s="4"/>
      <c r="E232" s="1"/>
      <c r="F232" s="1"/>
      <c r="G232" s="1"/>
      <c r="H232" s="1"/>
    </row>
    <row r="233" spans="1:8" s="72" customFormat="1">
      <c r="A233" s="4"/>
      <c r="E233" s="1"/>
      <c r="F233" s="1"/>
      <c r="G233" s="1"/>
      <c r="H233" s="1"/>
    </row>
    <row r="234" spans="1:8" s="72" customFormat="1">
      <c r="A234" s="4"/>
      <c r="E234" s="1"/>
      <c r="F234" s="1"/>
      <c r="G234" s="1"/>
      <c r="H234" s="1"/>
    </row>
    <row r="235" spans="1:8" s="72" customFormat="1">
      <c r="A235" s="4"/>
      <c r="E235" s="1"/>
      <c r="F235" s="1"/>
      <c r="G235" s="1"/>
      <c r="H235" s="1"/>
    </row>
    <row r="236" spans="1:8" s="72" customFormat="1">
      <c r="A236" s="4"/>
      <c r="E236" s="1"/>
      <c r="F236" s="1"/>
      <c r="G236" s="1"/>
      <c r="H236" s="1"/>
    </row>
    <row r="237" spans="1:8" s="72" customFormat="1">
      <c r="A237" s="4"/>
      <c r="E237" s="1"/>
      <c r="F237" s="1"/>
      <c r="G237" s="1"/>
      <c r="H237" s="1"/>
    </row>
    <row r="238" spans="1:8" s="72" customFormat="1">
      <c r="A238" s="4"/>
      <c r="E238" s="1"/>
      <c r="F238" s="1"/>
      <c r="G238" s="1"/>
      <c r="H238" s="1"/>
    </row>
    <row r="239" spans="1:8" s="72" customFormat="1">
      <c r="A239" s="4"/>
      <c r="E239" s="1"/>
      <c r="F239" s="1"/>
      <c r="G239" s="1"/>
      <c r="H239" s="1"/>
    </row>
    <row r="240" spans="1:8" s="72" customFormat="1">
      <c r="A240" s="4"/>
      <c r="E240" s="1"/>
      <c r="F240" s="1"/>
      <c r="G240" s="1"/>
      <c r="H240" s="1"/>
    </row>
    <row r="241" spans="1:8" s="72" customFormat="1">
      <c r="A241" s="4"/>
      <c r="E241" s="1"/>
      <c r="F241" s="1"/>
      <c r="G241" s="1"/>
      <c r="H241" s="1"/>
    </row>
    <row r="242" spans="1:8" s="72" customFormat="1">
      <c r="A242" s="4"/>
      <c r="E242" s="1"/>
      <c r="F242" s="1"/>
      <c r="G242" s="1"/>
      <c r="H242" s="1"/>
    </row>
    <row r="243" spans="1:8" s="72" customFormat="1">
      <c r="A243" s="4"/>
      <c r="E243" s="1"/>
      <c r="F243" s="1"/>
      <c r="G243" s="1"/>
      <c r="H243" s="1"/>
    </row>
    <row r="244" spans="1:8" s="72" customFormat="1">
      <c r="A244" s="4"/>
      <c r="E244" s="1"/>
      <c r="F244" s="1"/>
      <c r="G244" s="1"/>
      <c r="H244" s="1"/>
    </row>
    <row r="245" spans="1:8" s="72" customFormat="1">
      <c r="A245" s="4"/>
      <c r="E245" s="1"/>
      <c r="F245" s="1"/>
      <c r="G245" s="1"/>
      <c r="H245" s="1"/>
    </row>
    <row r="246" spans="1:8" s="72" customFormat="1">
      <c r="A246" s="4"/>
      <c r="E246" s="1"/>
      <c r="F246" s="1"/>
      <c r="G246" s="1"/>
      <c r="H246" s="1"/>
    </row>
    <row r="247" spans="1:8" s="72" customFormat="1">
      <c r="A247" s="4"/>
      <c r="E247" s="1"/>
      <c r="F247" s="1"/>
      <c r="G247" s="1"/>
      <c r="H247" s="1"/>
    </row>
    <row r="248" spans="1:8" s="72" customFormat="1">
      <c r="A248" s="4"/>
      <c r="E248" s="1"/>
      <c r="F248" s="1"/>
      <c r="G248" s="1"/>
      <c r="H248" s="1"/>
    </row>
    <row r="249" spans="1:8" s="72" customFormat="1">
      <c r="A249" s="4"/>
      <c r="E249" s="1"/>
      <c r="F249" s="1"/>
      <c r="G249" s="1"/>
      <c r="H249" s="1"/>
    </row>
  </sheetData>
  <mergeCells count="22">
    <mergeCell ref="A2:H2"/>
    <mergeCell ref="A1:H1"/>
    <mergeCell ref="A51:H51"/>
    <mergeCell ref="A69:H69"/>
    <mergeCell ref="A4:A5"/>
    <mergeCell ref="B4:B5"/>
    <mergeCell ref="A7:H7"/>
    <mergeCell ref="E4:H4"/>
    <mergeCell ref="C4:D4"/>
    <mergeCell ref="A44:H44"/>
    <mergeCell ref="G98:H98"/>
    <mergeCell ref="G97:H97"/>
    <mergeCell ref="A78:H78"/>
    <mergeCell ref="C79:D79"/>
    <mergeCell ref="E79:E80"/>
    <mergeCell ref="F79:F80"/>
    <mergeCell ref="G79:G80"/>
    <mergeCell ref="H79:H80"/>
    <mergeCell ref="A79:A80"/>
    <mergeCell ref="B79:B80"/>
    <mergeCell ref="D97:E97"/>
    <mergeCell ref="D98:E98"/>
  </mergeCells>
  <phoneticPr fontId="3" type="noConversion"/>
  <printOptions horizontalCentered="1"/>
  <pageMargins left="0.39370078740157483" right="0.39370078740157483" top="0.78740157480314965" bottom="0.39370078740157483" header="0.39370078740157483" footer="0.19685039370078741"/>
  <pageSetup paperSize="9" scale="77" fitToHeight="6" orientation="landscape" verticalDpi="300" r:id="rId1"/>
  <headerFooter alignWithMargins="0"/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K196"/>
  <sheetViews>
    <sheetView view="pageBreakPreview" zoomScale="80" zoomScaleSheetLayoutView="80" workbookViewId="0">
      <selection activeCell="B8" sqref="B8"/>
    </sheetView>
  </sheetViews>
  <sheetFormatPr defaultRowHeight="18.75"/>
  <cols>
    <col min="1" max="1" width="4" style="200" customWidth="1"/>
    <col min="2" max="2" width="58.5703125" style="200" customWidth="1"/>
    <col min="3" max="3" width="8.7109375" style="244" customWidth="1"/>
    <col min="4" max="5" width="15.42578125" style="244" customWidth="1"/>
    <col min="6" max="6" width="16.42578125" style="244" customWidth="1"/>
    <col min="7" max="7" width="14.5703125" style="204" customWidth="1"/>
    <col min="8" max="8" width="15.28515625" style="204" customWidth="1"/>
    <col min="9" max="9" width="16.85546875" style="200" customWidth="1"/>
    <col min="10" max="10" width="13" style="200" customWidth="1"/>
    <col min="11" max="11" width="11.85546875" style="200" customWidth="1"/>
    <col min="12" max="16384" width="9.140625" style="200"/>
  </cols>
  <sheetData>
    <row r="1" spans="1:10" ht="29.25" customHeight="1">
      <c r="A1" s="297" t="s">
        <v>84</v>
      </c>
      <c r="B1" s="297"/>
      <c r="C1" s="297"/>
      <c r="D1" s="297"/>
      <c r="E1" s="297"/>
      <c r="F1" s="297"/>
      <c r="G1" s="297"/>
      <c r="H1" s="297"/>
    </row>
    <row r="2" spans="1:10">
      <c r="B2" s="201"/>
      <c r="C2" s="202"/>
      <c r="D2" s="203"/>
      <c r="E2" s="203"/>
      <c r="F2" s="203"/>
      <c r="H2" s="204" t="s">
        <v>59</v>
      </c>
    </row>
    <row r="3" spans="1:10" s="204" customFormat="1" ht="60.75" customHeight="1">
      <c r="A3" s="205" t="s">
        <v>6</v>
      </c>
      <c r="B3" s="178" t="s">
        <v>20</v>
      </c>
      <c r="C3" s="205" t="s">
        <v>4</v>
      </c>
      <c r="D3" s="206" t="s">
        <v>225</v>
      </c>
      <c r="E3" s="207" t="s">
        <v>266</v>
      </c>
      <c r="F3" s="206" t="s">
        <v>267</v>
      </c>
      <c r="G3" s="206" t="s">
        <v>187</v>
      </c>
      <c r="H3" s="206" t="s">
        <v>188</v>
      </c>
    </row>
    <row r="4" spans="1:10" ht="19.5" customHeight="1">
      <c r="A4" s="208">
        <v>1</v>
      </c>
      <c r="B4" s="178">
        <v>2</v>
      </c>
      <c r="C4" s="178">
        <v>3</v>
      </c>
      <c r="D4" s="178">
        <v>4</v>
      </c>
      <c r="E4" s="178">
        <v>5</v>
      </c>
      <c r="F4" s="178">
        <v>6</v>
      </c>
      <c r="G4" s="209">
        <v>7</v>
      </c>
      <c r="H4" s="206">
        <v>8</v>
      </c>
    </row>
    <row r="5" spans="1:10" ht="27.75" customHeight="1">
      <c r="A5" s="301" t="s">
        <v>68</v>
      </c>
      <c r="B5" s="302"/>
      <c r="C5" s="178"/>
      <c r="D5" s="210">
        <f>D6+D10+D19+D21</f>
        <v>65641</v>
      </c>
      <c r="E5" s="210">
        <f>E6+E10+E19+E21</f>
        <v>70416.2</v>
      </c>
      <c r="F5" s="210">
        <f>F6+F10+F19+F21</f>
        <v>94548.300000000017</v>
      </c>
      <c r="G5" s="211">
        <f t="shared" ref="G5:G10" si="0">F5-E5</f>
        <v>24132.10000000002</v>
      </c>
      <c r="H5" s="211">
        <f t="shared" ref="H5:H10" si="1">(F5/E5)*100</f>
        <v>134.27066498902244</v>
      </c>
      <c r="I5" s="212"/>
      <c r="J5" s="212"/>
    </row>
    <row r="6" spans="1:10" ht="42" customHeight="1">
      <c r="A6" s="303" t="s">
        <v>67</v>
      </c>
      <c r="B6" s="304"/>
      <c r="C6" s="213">
        <v>1000</v>
      </c>
      <c r="D6" s="196">
        <f>D7+D8</f>
        <v>55214.7</v>
      </c>
      <c r="E6" s="196">
        <f>E7+E8</f>
        <v>58698.1</v>
      </c>
      <c r="F6" s="196">
        <f>F7+F8+F9</f>
        <v>74991.900000000023</v>
      </c>
      <c r="G6" s="211">
        <f t="shared" si="0"/>
        <v>16293.800000000025</v>
      </c>
      <c r="H6" s="211">
        <f t="shared" si="1"/>
        <v>127.75864976890227</v>
      </c>
    </row>
    <row r="7" spans="1:10" ht="39" customHeight="1">
      <c r="A7" s="208">
        <v>1</v>
      </c>
      <c r="B7" s="214" t="s">
        <v>107</v>
      </c>
      <c r="C7" s="178"/>
      <c r="D7" s="215">
        <v>55150.5</v>
      </c>
      <c r="E7" s="216">
        <v>58600</v>
      </c>
      <c r="F7" s="215">
        <f>74967.6-68.4</f>
        <v>74899.200000000012</v>
      </c>
      <c r="G7" s="217">
        <f t="shared" si="0"/>
        <v>16299.200000000012</v>
      </c>
      <c r="H7" s="217">
        <f t="shared" si="1"/>
        <v>127.81433447098978</v>
      </c>
    </row>
    <row r="8" spans="1:10" ht="57.75" customHeight="1">
      <c r="A8" s="208">
        <v>2</v>
      </c>
      <c r="B8" s="214" t="s">
        <v>202</v>
      </c>
      <c r="C8" s="213"/>
      <c r="D8" s="215">
        <v>64.2</v>
      </c>
      <c r="E8" s="216">
        <v>98.1</v>
      </c>
      <c r="F8" s="215">
        <f>7.7+68.4</f>
        <v>76.100000000000009</v>
      </c>
      <c r="G8" s="217">
        <f t="shared" ref="G8:G9" si="2">F8-E8</f>
        <v>-21.999999999999986</v>
      </c>
      <c r="H8" s="211">
        <f t="shared" ref="H8:H9" si="3">(F8/E8)*100</f>
        <v>77.573904179408785</v>
      </c>
    </row>
    <row r="9" spans="1:10" ht="35.25" customHeight="1">
      <c r="A9" s="218">
        <v>3</v>
      </c>
      <c r="B9" s="214" t="s">
        <v>319</v>
      </c>
      <c r="C9" s="213"/>
      <c r="D9" s="215"/>
      <c r="E9" s="216"/>
      <c r="F9" s="215">
        <v>16.600000000000001</v>
      </c>
      <c r="G9" s="217">
        <f t="shared" si="2"/>
        <v>16.600000000000001</v>
      </c>
      <c r="H9" s="219" t="e">
        <f t="shared" si="3"/>
        <v>#DIV/0!</v>
      </c>
    </row>
    <row r="10" spans="1:10" ht="30.75" customHeight="1">
      <c r="A10" s="303" t="s">
        <v>31</v>
      </c>
      <c r="B10" s="304"/>
      <c r="C10" s="213">
        <v>1040</v>
      </c>
      <c r="D10" s="196">
        <f>SUM(D12:D18)</f>
        <v>6415.4</v>
      </c>
      <c r="E10" s="196">
        <f>SUM(E11:E18)</f>
        <v>4947.0999999999995</v>
      </c>
      <c r="F10" s="196">
        <f>SUM(F11:F18)</f>
        <v>11747.3</v>
      </c>
      <c r="G10" s="211">
        <f t="shared" si="0"/>
        <v>6800.2</v>
      </c>
      <c r="H10" s="211">
        <f t="shared" si="1"/>
        <v>237.45830890824928</v>
      </c>
    </row>
    <row r="11" spans="1:10" ht="96" customHeight="1">
      <c r="A11" s="178">
        <v>1</v>
      </c>
      <c r="B11" s="220" t="s">
        <v>318</v>
      </c>
      <c r="C11" s="213"/>
      <c r="D11" s="196" t="s">
        <v>253</v>
      </c>
      <c r="E11" s="216">
        <v>294.2</v>
      </c>
      <c r="F11" s="215">
        <v>282.2</v>
      </c>
      <c r="G11" s="217">
        <f t="shared" ref="G11" si="4">F11-E11</f>
        <v>-12</v>
      </c>
      <c r="H11" s="217">
        <f t="shared" ref="H11" si="5">(F11/E11)*100</f>
        <v>95.921142080217535</v>
      </c>
    </row>
    <row r="12" spans="1:10" ht="48" customHeight="1">
      <c r="A12" s="178">
        <v>2</v>
      </c>
      <c r="B12" s="221" t="s">
        <v>317</v>
      </c>
      <c r="C12" s="213"/>
      <c r="D12" s="215" t="s">
        <v>253</v>
      </c>
      <c r="E12" s="216"/>
      <c r="F12" s="215">
        <f>7881.4-282.2-11.3-4596.2</f>
        <v>2991.7</v>
      </c>
      <c r="G12" s="217">
        <f t="shared" ref="G12" si="6">F12-E12</f>
        <v>2991.7</v>
      </c>
      <c r="H12" s="222" t="e">
        <f t="shared" ref="H12" si="7">(F12/E12)*100</f>
        <v>#DIV/0!</v>
      </c>
    </row>
    <row r="13" spans="1:10" ht="45.75" customHeight="1">
      <c r="A13" s="178">
        <v>3</v>
      </c>
      <c r="B13" s="214" t="s">
        <v>316</v>
      </c>
      <c r="C13" s="213"/>
      <c r="D13" s="215">
        <v>4825.6000000000004</v>
      </c>
      <c r="E13" s="216">
        <v>4596.2</v>
      </c>
      <c r="F13" s="215">
        <v>4596.2</v>
      </c>
      <c r="G13" s="217">
        <f t="shared" ref="G13:G76" si="8">F13-E13</f>
        <v>0</v>
      </c>
      <c r="H13" s="217">
        <f t="shared" ref="H13:H76" si="9">(F13/E13)*100</f>
        <v>100</v>
      </c>
    </row>
    <row r="14" spans="1:10" ht="24.75" customHeight="1">
      <c r="A14" s="178">
        <v>4</v>
      </c>
      <c r="B14" s="214" t="s">
        <v>203</v>
      </c>
      <c r="C14" s="213"/>
      <c r="D14" s="215">
        <v>48.2</v>
      </c>
      <c r="E14" s="223">
        <v>51.7</v>
      </c>
      <c r="F14" s="215">
        <f>56.9+11.3</f>
        <v>68.2</v>
      </c>
      <c r="G14" s="217">
        <f t="shared" si="8"/>
        <v>16.5</v>
      </c>
      <c r="H14" s="217">
        <f t="shared" si="9"/>
        <v>131.91489361702128</v>
      </c>
    </row>
    <row r="15" spans="1:10" ht="24.75" customHeight="1">
      <c r="A15" s="178">
        <v>5</v>
      </c>
      <c r="B15" s="214" t="s">
        <v>156</v>
      </c>
      <c r="C15" s="213"/>
      <c r="D15" s="215"/>
      <c r="E15" s="216">
        <v>5</v>
      </c>
      <c r="F15" s="215"/>
      <c r="G15" s="217">
        <f t="shared" si="8"/>
        <v>-5</v>
      </c>
      <c r="H15" s="217">
        <f t="shared" si="9"/>
        <v>0</v>
      </c>
    </row>
    <row r="16" spans="1:10" ht="24.75" customHeight="1">
      <c r="A16" s="178">
        <v>6</v>
      </c>
      <c r="B16" s="214" t="s">
        <v>314</v>
      </c>
      <c r="C16" s="213"/>
      <c r="D16" s="215"/>
      <c r="E16" s="216"/>
      <c r="F16" s="215">
        <v>12.4</v>
      </c>
      <c r="G16" s="217">
        <f t="shared" si="8"/>
        <v>12.4</v>
      </c>
      <c r="H16" s="222" t="e">
        <f t="shared" si="9"/>
        <v>#DIV/0!</v>
      </c>
    </row>
    <row r="17" spans="1:11" ht="24.75" customHeight="1">
      <c r="A17" s="178">
        <v>7</v>
      </c>
      <c r="B17" s="214" t="s">
        <v>315</v>
      </c>
      <c r="C17" s="213"/>
      <c r="D17" s="215"/>
      <c r="E17" s="216"/>
      <c r="F17" s="215">
        <v>462.1</v>
      </c>
      <c r="G17" s="217">
        <f t="shared" si="8"/>
        <v>462.1</v>
      </c>
      <c r="H17" s="222" t="e">
        <f t="shared" si="9"/>
        <v>#DIV/0!</v>
      </c>
    </row>
    <row r="18" spans="1:11" ht="27.75" customHeight="1">
      <c r="A18" s="178">
        <v>8</v>
      </c>
      <c r="B18" s="214" t="s">
        <v>262</v>
      </c>
      <c r="C18" s="213"/>
      <c r="D18" s="215">
        <v>1541.6</v>
      </c>
      <c r="E18" s="215"/>
      <c r="F18" s="215">
        <f>3809-12.4-462.1</f>
        <v>3334.5</v>
      </c>
      <c r="G18" s="217">
        <f t="shared" si="8"/>
        <v>3334.5</v>
      </c>
      <c r="H18" s="222" t="e">
        <f t="shared" si="9"/>
        <v>#DIV/0!</v>
      </c>
      <c r="J18" s="224"/>
    </row>
    <row r="19" spans="1:11" ht="26.25" customHeight="1">
      <c r="A19" s="305" t="s">
        <v>157</v>
      </c>
      <c r="B19" s="306"/>
      <c r="C19" s="213">
        <v>1130</v>
      </c>
      <c r="D19" s="196">
        <f>D20</f>
        <v>86.6</v>
      </c>
      <c r="E19" s="196">
        <f>E20</f>
        <v>131</v>
      </c>
      <c r="F19" s="196">
        <f>F20</f>
        <v>987.7</v>
      </c>
      <c r="G19" s="211">
        <f t="shared" si="8"/>
        <v>856.7</v>
      </c>
      <c r="H19" s="211">
        <f t="shared" si="9"/>
        <v>753.96946564885502</v>
      </c>
    </row>
    <row r="20" spans="1:11" ht="39.75" customHeight="1">
      <c r="A20" s="208">
        <v>1</v>
      </c>
      <c r="B20" s="214" t="s">
        <v>158</v>
      </c>
      <c r="C20" s="178"/>
      <c r="D20" s="215">
        <v>86.6</v>
      </c>
      <c r="E20" s="216">
        <v>131</v>
      </c>
      <c r="F20" s="215">
        <v>987.7</v>
      </c>
      <c r="G20" s="217">
        <f t="shared" si="8"/>
        <v>856.7</v>
      </c>
      <c r="H20" s="217">
        <f t="shared" si="9"/>
        <v>753.96946564885502</v>
      </c>
      <c r="J20" s="224"/>
    </row>
    <row r="21" spans="1:11" ht="24.75" customHeight="1">
      <c r="A21" s="295" t="s">
        <v>23</v>
      </c>
      <c r="B21" s="296"/>
      <c r="C21" s="213">
        <v>1150</v>
      </c>
      <c r="D21" s="196">
        <f t="shared" ref="D21:F21" si="10">D22</f>
        <v>3924.3</v>
      </c>
      <c r="E21" s="196">
        <f t="shared" si="10"/>
        <v>6640</v>
      </c>
      <c r="F21" s="196">
        <f t="shared" si="10"/>
        <v>6821.4</v>
      </c>
      <c r="G21" s="211">
        <f t="shared" si="8"/>
        <v>181.39999999999964</v>
      </c>
      <c r="H21" s="211">
        <f t="shared" si="9"/>
        <v>102.73192771084337</v>
      </c>
    </row>
    <row r="22" spans="1:11" ht="39.75" customHeight="1">
      <c r="A22" s="178">
        <v>1</v>
      </c>
      <c r="B22" s="225" t="s">
        <v>110</v>
      </c>
      <c r="C22" s="213"/>
      <c r="D22" s="215">
        <v>3924.3</v>
      </c>
      <c r="E22" s="216">
        <v>6640</v>
      </c>
      <c r="F22" s="215">
        <v>6821.4</v>
      </c>
      <c r="G22" s="217">
        <f t="shared" si="8"/>
        <v>181.39999999999964</v>
      </c>
      <c r="H22" s="217">
        <f t="shared" si="9"/>
        <v>102.73192771084337</v>
      </c>
      <c r="J22" s="224"/>
    </row>
    <row r="23" spans="1:11" ht="22.5" customHeight="1">
      <c r="A23" s="301" t="s">
        <v>69</v>
      </c>
      <c r="B23" s="302"/>
      <c r="C23" s="213"/>
      <c r="D23" s="196"/>
      <c r="E23" s="196"/>
      <c r="F23" s="196"/>
      <c r="G23" s="211"/>
      <c r="H23" s="211"/>
    </row>
    <row r="24" spans="1:11" ht="41.25" customHeight="1">
      <c r="A24" s="303" t="s">
        <v>76</v>
      </c>
      <c r="B24" s="304"/>
      <c r="C24" s="213"/>
      <c r="D24" s="179"/>
      <c r="E24" s="179"/>
      <c r="F24" s="179"/>
      <c r="G24" s="211"/>
      <c r="H24" s="211"/>
    </row>
    <row r="25" spans="1:11" ht="27" customHeight="1">
      <c r="A25" s="295" t="s">
        <v>89</v>
      </c>
      <c r="B25" s="296"/>
      <c r="C25" s="226">
        <v>1011</v>
      </c>
      <c r="D25" s="196">
        <f>SUM(D26:D42)</f>
        <v>13911.9</v>
      </c>
      <c r="E25" s="196">
        <f>SUM(E26:E42)</f>
        <v>16544.7</v>
      </c>
      <c r="F25" s="196">
        <f>SUM(F26:F42)</f>
        <v>24673.699999999997</v>
      </c>
      <c r="G25" s="211">
        <f t="shared" si="8"/>
        <v>8128.9999999999964</v>
      </c>
      <c r="H25" s="211">
        <f t="shared" si="9"/>
        <v>149.13355938759844</v>
      </c>
      <c r="J25" s="200">
        <v>16544.7</v>
      </c>
      <c r="K25" s="200">
        <v>24673.7</v>
      </c>
    </row>
    <row r="26" spans="1:11" ht="36.75" customHeight="1">
      <c r="A26" s="227"/>
      <c r="B26" s="220" t="s">
        <v>190</v>
      </c>
      <c r="C26" s="228"/>
      <c r="D26" s="216">
        <f>49.6</f>
        <v>49.6</v>
      </c>
      <c r="E26" s="229">
        <v>70</v>
      </c>
      <c r="F26" s="216"/>
      <c r="G26" s="217">
        <f t="shared" si="8"/>
        <v>-70</v>
      </c>
      <c r="H26" s="217">
        <f t="shared" si="9"/>
        <v>0</v>
      </c>
    </row>
    <row r="27" spans="1:11" ht="57" customHeight="1">
      <c r="A27" s="227"/>
      <c r="B27" s="214" t="s">
        <v>250</v>
      </c>
      <c r="C27" s="228"/>
      <c r="D27" s="216">
        <f>135.3+0.6+6.6</f>
        <v>142.5</v>
      </c>
      <c r="E27" s="216">
        <v>220</v>
      </c>
      <c r="F27" s="216">
        <f>110.5+63.4+12.1</f>
        <v>186</v>
      </c>
      <c r="G27" s="217">
        <f t="shared" si="8"/>
        <v>-34</v>
      </c>
      <c r="H27" s="217">
        <f t="shared" si="9"/>
        <v>84.545454545454547</v>
      </c>
    </row>
    <row r="28" spans="1:11" ht="24" customHeight="1">
      <c r="A28" s="227"/>
      <c r="B28" s="214" t="s">
        <v>112</v>
      </c>
      <c r="C28" s="228"/>
      <c r="D28" s="216">
        <f>125.7</f>
        <v>125.7</v>
      </c>
      <c r="E28" s="216"/>
      <c r="F28" s="216">
        <v>74.3</v>
      </c>
      <c r="G28" s="217">
        <f t="shared" si="8"/>
        <v>74.3</v>
      </c>
      <c r="H28" s="222" t="e">
        <f t="shared" si="9"/>
        <v>#DIV/0!</v>
      </c>
    </row>
    <row r="29" spans="1:11" ht="21" customHeight="1">
      <c r="A29" s="227"/>
      <c r="B29" s="214" t="s">
        <v>234</v>
      </c>
      <c r="C29" s="228"/>
      <c r="D29" s="216"/>
      <c r="E29" s="216"/>
      <c r="F29" s="216">
        <f>88.3</f>
        <v>88.3</v>
      </c>
      <c r="G29" s="217">
        <f t="shared" si="8"/>
        <v>88.3</v>
      </c>
      <c r="H29" s="222" t="e">
        <f t="shared" si="9"/>
        <v>#DIV/0!</v>
      </c>
    </row>
    <row r="30" spans="1:11" ht="21.75" customHeight="1">
      <c r="A30" s="227"/>
      <c r="B30" s="214" t="s">
        <v>140</v>
      </c>
      <c r="C30" s="228"/>
      <c r="D30" s="216">
        <f>16.9</f>
        <v>16.899999999999999</v>
      </c>
      <c r="E30" s="230">
        <v>70</v>
      </c>
      <c r="F30" s="216">
        <v>23.7</v>
      </c>
      <c r="G30" s="217">
        <f t="shared" si="8"/>
        <v>-46.3</v>
      </c>
      <c r="H30" s="217">
        <f t="shared" si="9"/>
        <v>33.857142857142861</v>
      </c>
    </row>
    <row r="31" spans="1:11" ht="20.25" customHeight="1">
      <c r="A31" s="227"/>
      <c r="B31" s="214" t="s">
        <v>113</v>
      </c>
      <c r="C31" s="228"/>
      <c r="D31" s="216"/>
      <c r="E31" s="216">
        <v>5</v>
      </c>
      <c r="F31" s="216">
        <v>1.2</v>
      </c>
      <c r="G31" s="217">
        <f t="shared" si="8"/>
        <v>-3.8</v>
      </c>
      <c r="H31" s="217">
        <f t="shared" si="9"/>
        <v>24</v>
      </c>
    </row>
    <row r="32" spans="1:11" ht="21" customHeight="1">
      <c r="A32" s="227"/>
      <c r="B32" s="214" t="s">
        <v>141</v>
      </c>
      <c r="C32" s="228"/>
      <c r="D32" s="216">
        <f>39.8</f>
        <v>39.799999999999997</v>
      </c>
      <c r="E32" s="216"/>
      <c r="F32" s="216">
        <v>20.100000000000001</v>
      </c>
      <c r="G32" s="217">
        <f t="shared" si="8"/>
        <v>20.100000000000001</v>
      </c>
      <c r="H32" s="222" t="e">
        <f t="shared" si="9"/>
        <v>#DIV/0!</v>
      </c>
    </row>
    <row r="33" spans="1:8" ht="20.25" customHeight="1">
      <c r="A33" s="227"/>
      <c r="B33" s="214" t="s">
        <v>142</v>
      </c>
      <c r="C33" s="228"/>
      <c r="D33" s="216"/>
      <c r="E33" s="216">
        <v>20</v>
      </c>
      <c r="F33" s="216">
        <v>33.5</v>
      </c>
      <c r="G33" s="217">
        <f t="shared" si="8"/>
        <v>13.5</v>
      </c>
      <c r="H33" s="217">
        <f t="shared" si="9"/>
        <v>167.5</v>
      </c>
    </row>
    <row r="34" spans="1:8" ht="36.75" customHeight="1">
      <c r="A34" s="227"/>
      <c r="B34" s="214" t="s">
        <v>252</v>
      </c>
      <c r="C34" s="178"/>
      <c r="D34" s="216">
        <f>217.1+27.1</f>
        <v>244.2</v>
      </c>
      <c r="E34" s="216">
        <v>80</v>
      </c>
      <c r="F34" s="216">
        <f>92.3+289.2</f>
        <v>381.5</v>
      </c>
      <c r="G34" s="217">
        <f t="shared" si="8"/>
        <v>301.5</v>
      </c>
      <c r="H34" s="217">
        <f t="shared" si="9"/>
        <v>476.875</v>
      </c>
    </row>
    <row r="35" spans="1:8" ht="20.25" customHeight="1">
      <c r="A35" s="227"/>
      <c r="B35" s="214" t="s">
        <v>144</v>
      </c>
      <c r="C35" s="228"/>
      <c r="D35" s="216">
        <f>56.4</f>
        <v>56.4</v>
      </c>
      <c r="E35" s="216"/>
      <c r="F35" s="216">
        <v>28.6</v>
      </c>
      <c r="G35" s="217">
        <f t="shared" si="8"/>
        <v>28.6</v>
      </c>
      <c r="H35" s="222" t="e">
        <f t="shared" si="9"/>
        <v>#DIV/0!</v>
      </c>
    </row>
    <row r="36" spans="1:8" ht="21" customHeight="1">
      <c r="A36" s="227"/>
      <c r="B36" s="214" t="s">
        <v>111</v>
      </c>
      <c r="C36" s="228"/>
      <c r="D36" s="216">
        <f>7149.5+24.4+723+1061.9</f>
        <v>8958.7999999999993</v>
      </c>
      <c r="E36" s="230">
        <v>11460</v>
      </c>
      <c r="F36" s="216">
        <v>18779.3</v>
      </c>
      <c r="G36" s="217">
        <f t="shared" si="8"/>
        <v>7319.2999999999993</v>
      </c>
      <c r="H36" s="217">
        <f t="shared" si="9"/>
        <v>163.86823734729495</v>
      </c>
    </row>
    <row r="37" spans="1:8" ht="21" customHeight="1">
      <c r="A37" s="227"/>
      <c r="B37" s="214" t="s">
        <v>132</v>
      </c>
      <c r="C37" s="228"/>
      <c r="D37" s="216">
        <f>228.6+0.2</f>
        <v>228.79999999999998</v>
      </c>
      <c r="E37" s="216">
        <v>500</v>
      </c>
      <c r="F37" s="216">
        <f>755.3+151.5</f>
        <v>906.8</v>
      </c>
      <c r="G37" s="217">
        <f t="shared" si="8"/>
        <v>406.79999999999995</v>
      </c>
      <c r="H37" s="217">
        <f t="shared" si="9"/>
        <v>181.35999999999999</v>
      </c>
    </row>
    <row r="38" spans="1:8" ht="20.25" customHeight="1">
      <c r="A38" s="227"/>
      <c r="B38" s="214" t="s">
        <v>134</v>
      </c>
      <c r="C38" s="228"/>
      <c r="D38" s="216">
        <v>95.9</v>
      </c>
      <c r="E38" s="216">
        <v>104.6</v>
      </c>
      <c r="F38" s="216">
        <v>104.6</v>
      </c>
      <c r="G38" s="217">
        <f t="shared" si="8"/>
        <v>0</v>
      </c>
      <c r="H38" s="217">
        <f t="shared" si="9"/>
        <v>100</v>
      </c>
    </row>
    <row r="39" spans="1:8" ht="21" customHeight="1">
      <c r="A39" s="227"/>
      <c r="B39" s="214" t="s">
        <v>125</v>
      </c>
      <c r="C39" s="228"/>
      <c r="D39" s="216">
        <f>0.1+2822.2+5.4</f>
        <v>2827.7</v>
      </c>
      <c r="E39" s="216">
        <v>2525.9</v>
      </c>
      <c r="F39" s="216">
        <f>2536.2+4.5</f>
        <v>2540.6999999999998</v>
      </c>
      <c r="G39" s="217">
        <f t="shared" si="8"/>
        <v>14.799999999999727</v>
      </c>
      <c r="H39" s="217">
        <f t="shared" si="9"/>
        <v>100.58592976760758</v>
      </c>
    </row>
    <row r="40" spans="1:8" ht="20.25" customHeight="1">
      <c r="A40" s="227"/>
      <c r="B40" s="225" t="s">
        <v>126</v>
      </c>
      <c r="C40" s="228"/>
      <c r="D40" s="216">
        <f>100.2+0.9</f>
        <v>101.10000000000001</v>
      </c>
      <c r="E40" s="216">
        <v>130.6</v>
      </c>
      <c r="F40" s="216">
        <f>129.7+0.6</f>
        <v>130.29999999999998</v>
      </c>
      <c r="G40" s="217">
        <f t="shared" si="8"/>
        <v>-0.30000000000001137</v>
      </c>
      <c r="H40" s="217">
        <f t="shared" si="9"/>
        <v>99.770290964777942</v>
      </c>
    </row>
    <row r="41" spans="1:8" ht="21" customHeight="1">
      <c r="A41" s="227"/>
      <c r="B41" s="214" t="s">
        <v>127</v>
      </c>
      <c r="C41" s="228"/>
      <c r="D41" s="216">
        <f>935.1+51.3+0.1</f>
        <v>986.5</v>
      </c>
      <c r="E41" s="216">
        <v>1285.9000000000001</v>
      </c>
      <c r="F41" s="216">
        <f>1239.7+62.6</f>
        <v>1302.3</v>
      </c>
      <c r="G41" s="217">
        <f t="shared" si="8"/>
        <v>16.399999999999864</v>
      </c>
      <c r="H41" s="217">
        <f t="shared" si="9"/>
        <v>101.27537133525158</v>
      </c>
    </row>
    <row r="42" spans="1:8" ht="20.25" customHeight="1">
      <c r="A42" s="227"/>
      <c r="B42" s="214" t="s">
        <v>128</v>
      </c>
      <c r="C42" s="228"/>
      <c r="D42" s="216">
        <f>38</f>
        <v>38</v>
      </c>
      <c r="E42" s="216">
        <v>72.7</v>
      </c>
      <c r="F42" s="216">
        <f>72.3+0.2</f>
        <v>72.5</v>
      </c>
      <c r="G42" s="217">
        <f t="shared" si="8"/>
        <v>-0.20000000000000284</v>
      </c>
      <c r="H42" s="217">
        <f t="shared" si="9"/>
        <v>99.724896836313619</v>
      </c>
    </row>
    <row r="43" spans="1:8" ht="24.75" customHeight="1">
      <c r="A43" s="295" t="s">
        <v>201</v>
      </c>
      <c r="B43" s="296"/>
      <c r="C43" s="231">
        <v>1015</v>
      </c>
      <c r="D43" s="196">
        <f>SUM(D44:D66)</f>
        <v>209.90000000000003</v>
      </c>
      <c r="E43" s="196">
        <f>SUM(E44:E67)</f>
        <v>794.19999999999982</v>
      </c>
      <c r="F43" s="196">
        <f>SUM(F44:F67)</f>
        <v>672.8</v>
      </c>
      <c r="G43" s="211">
        <f t="shared" si="8"/>
        <v>-121.39999999999986</v>
      </c>
      <c r="H43" s="211">
        <f t="shared" si="9"/>
        <v>84.714177788970048</v>
      </c>
    </row>
    <row r="44" spans="1:8" ht="40.5" customHeight="1">
      <c r="A44" s="227"/>
      <c r="B44" s="220" t="s">
        <v>195</v>
      </c>
      <c r="C44" s="178"/>
      <c r="D44" s="215">
        <f>3.2</f>
        <v>3.2</v>
      </c>
      <c r="E44" s="216">
        <v>25</v>
      </c>
      <c r="F44" s="215">
        <f>7.6</f>
        <v>7.6</v>
      </c>
      <c r="G44" s="217">
        <f t="shared" si="8"/>
        <v>-17.399999999999999</v>
      </c>
      <c r="H44" s="217">
        <f t="shared" si="9"/>
        <v>30.4</v>
      </c>
    </row>
    <row r="45" spans="1:8" ht="54" customHeight="1">
      <c r="A45" s="227"/>
      <c r="B45" s="232" t="s">
        <v>115</v>
      </c>
      <c r="C45" s="178"/>
      <c r="D45" s="215"/>
      <c r="E45" s="216">
        <v>4</v>
      </c>
      <c r="F45" s="215">
        <f>4.5</f>
        <v>4.5</v>
      </c>
      <c r="G45" s="217">
        <f t="shared" si="8"/>
        <v>0.5</v>
      </c>
      <c r="H45" s="217">
        <f t="shared" si="9"/>
        <v>112.5</v>
      </c>
    </row>
    <row r="46" spans="1:8" ht="22.5" customHeight="1">
      <c r="A46" s="227"/>
      <c r="B46" s="232" t="s">
        <v>130</v>
      </c>
      <c r="C46" s="228"/>
      <c r="D46" s="215"/>
      <c r="E46" s="216">
        <v>129</v>
      </c>
      <c r="F46" s="215">
        <f>19.7</f>
        <v>19.7</v>
      </c>
      <c r="G46" s="217">
        <f t="shared" si="8"/>
        <v>-109.3</v>
      </c>
      <c r="H46" s="217">
        <f t="shared" si="9"/>
        <v>15.271317829457365</v>
      </c>
    </row>
    <row r="47" spans="1:8" ht="54" customHeight="1">
      <c r="A47" s="227"/>
      <c r="B47" s="214" t="s">
        <v>251</v>
      </c>
      <c r="C47" s="228"/>
      <c r="D47" s="215">
        <v>1.5</v>
      </c>
      <c r="E47" s="229">
        <v>94.5</v>
      </c>
      <c r="F47" s="215"/>
      <c r="G47" s="217">
        <f t="shared" si="8"/>
        <v>-94.5</v>
      </c>
      <c r="H47" s="217">
        <f t="shared" si="9"/>
        <v>0</v>
      </c>
    </row>
    <row r="48" spans="1:8" ht="20.25" customHeight="1">
      <c r="A48" s="227"/>
      <c r="B48" s="232" t="s">
        <v>117</v>
      </c>
      <c r="C48" s="228"/>
      <c r="D48" s="215">
        <f>11.5</f>
        <v>11.5</v>
      </c>
      <c r="E48" s="229">
        <v>11</v>
      </c>
      <c r="F48" s="215">
        <f>12.2</f>
        <v>12.2</v>
      </c>
      <c r="G48" s="217">
        <f t="shared" si="8"/>
        <v>1.1999999999999993</v>
      </c>
      <c r="H48" s="217">
        <f t="shared" si="9"/>
        <v>110.90909090909091</v>
      </c>
    </row>
    <row r="49" spans="1:8" ht="20.25" customHeight="1">
      <c r="A49" s="227"/>
      <c r="B49" s="232" t="s">
        <v>118</v>
      </c>
      <c r="C49" s="228"/>
      <c r="D49" s="215">
        <f>3.5</f>
        <v>3.5</v>
      </c>
      <c r="E49" s="229">
        <v>3.5</v>
      </c>
      <c r="F49" s="215">
        <f>3.6</f>
        <v>3.6</v>
      </c>
      <c r="G49" s="217">
        <f t="shared" si="8"/>
        <v>0.10000000000000009</v>
      </c>
      <c r="H49" s="217">
        <f t="shared" si="9"/>
        <v>102.85714285714288</v>
      </c>
    </row>
    <row r="50" spans="1:8" ht="36.75" customHeight="1">
      <c r="A50" s="233"/>
      <c r="B50" s="232" t="s">
        <v>145</v>
      </c>
      <c r="C50" s="208"/>
      <c r="D50" s="215"/>
      <c r="E50" s="216">
        <v>150</v>
      </c>
      <c r="F50" s="215">
        <f>182.4</f>
        <v>182.4</v>
      </c>
      <c r="G50" s="217">
        <f t="shared" si="8"/>
        <v>32.400000000000006</v>
      </c>
      <c r="H50" s="217">
        <f t="shared" si="9"/>
        <v>121.6</v>
      </c>
    </row>
    <row r="51" spans="1:8" ht="18" customHeight="1">
      <c r="A51" s="233"/>
      <c r="B51" s="232" t="s">
        <v>119</v>
      </c>
      <c r="C51" s="208"/>
      <c r="D51" s="215">
        <f>13.6</f>
        <v>13.6</v>
      </c>
      <c r="E51" s="216">
        <v>17</v>
      </c>
      <c r="F51" s="215">
        <f>14.4</f>
        <v>14.4</v>
      </c>
      <c r="G51" s="217">
        <f t="shared" si="8"/>
        <v>-2.5999999999999996</v>
      </c>
      <c r="H51" s="217">
        <f t="shared" si="9"/>
        <v>84.705882352941174</v>
      </c>
    </row>
    <row r="52" spans="1:8" ht="18" customHeight="1">
      <c r="A52" s="227"/>
      <c r="B52" s="232" t="s">
        <v>120</v>
      </c>
      <c r="C52" s="228"/>
      <c r="D52" s="215">
        <f>10.2</f>
        <v>10.199999999999999</v>
      </c>
      <c r="E52" s="229">
        <v>10.5</v>
      </c>
      <c r="F52" s="215">
        <f>11.6</f>
        <v>11.6</v>
      </c>
      <c r="G52" s="217">
        <f t="shared" si="8"/>
        <v>1.0999999999999996</v>
      </c>
      <c r="H52" s="217">
        <f t="shared" si="9"/>
        <v>110.47619047619048</v>
      </c>
    </row>
    <row r="53" spans="1:8" ht="18" customHeight="1">
      <c r="A53" s="227"/>
      <c r="B53" s="232" t="s">
        <v>121</v>
      </c>
      <c r="C53" s="228"/>
      <c r="D53" s="215"/>
      <c r="E53" s="229"/>
      <c r="F53" s="215"/>
      <c r="G53" s="217">
        <f t="shared" si="8"/>
        <v>0</v>
      </c>
      <c r="H53" s="222" t="e">
        <f t="shared" si="9"/>
        <v>#DIV/0!</v>
      </c>
    </row>
    <row r="54" spans="1:8" ht="18" customHeight="1">
      <c r="A54" s="227"/>
      <c r="B54" s="232" t="s">
        <v>122</v>
      </c>
      <c r="C54" s="228"/>
      <c r="D54" s="215">
        <f>5.3</f>
        <v>5.3</v>
      </c>
      <c r="E54" s="229">
        <v>8.5</v>
      </c>
      <c r="F54" s="215">
        <f>11.6</f>
        <v>11.6</v>
      </c>
      <c r="G54" s="217">
        <f t="shared" si="8"/>
        <v>3.0999999999999996</v>
      </c>
      <c r="H54" s="217">
        <f t="shared" si="9"/>
        <v>136.47058823529412</v>
      </c>
    </row>
    <row r="55" spans="1:8" ht="18" customHeight="1">
      <c r="A55" s="227"/>
      <c r="B55" s="232" t="s">
        <v>223</v>
      </c>
      <c r="C55" s="228"/>
      <c r="D55" s="215"/>
      <c r="E55" s="229">
        <v>19.399999999999999</v>
      </c>
      <c r="F55" s="215"/>
      <c r="G55" s="217">
        <f t="shared" si="8"/>
        <v>-19.399999999999999</v>
      </c>
      <c r="H55" s="217">
        <f t="shared" si="9"/>
        <v>0</v>
      </c>
    </row>
    <row r="56" spans="1:8" ht="18" customHeight="1">
      <c r="A56" s="227"/>
      <c r="B56" s="232" t="s">
        <v>123</v>
      </c>
      <c r="C56" s="228"/>
      <c r="D56" s="215"/>
      <c r="E56" s="229">
        <v>1.2</v>
      </c>
      <c r="F56" s="215"/>
      <c r="G56" s="217">
        <f t="shared" si="8"/>
        <v>-1.2</v>
      </c>
      <c r="H56" s="217">
        <f t="shared" si="9"/>
        <v>0</v>
      </c>
    </row>
    <row r="57" spans="1:8" ht="18" customHeight="1">
      <c r="A57" s="227"/>
      <c r="B57" s="232" t="s">
        <v>124</v>
      </c>
      <c r="C57" s="228"/>
      <c r="D57" s="215"/>
      <c r="E57" s="215">
        <v>10</v>
      </c>
      <c r="F57" s="215">
        <f>11.7</f>
        <v>11.7</v>
      </c>
      <c r="G57" s="217">
        <f t="shared" si="8"/>
        <v>1.6999999999999993</v>
      </c>
      <c r="H57" s="217">
        <f t="shared" si="9"/>
        <v>117</v>
      </c>
    </row>
    <row r="58" spans="1:8" ht="54.75" customHeight="1">
      <c r="A58" s="233"/>
      <c r="B58" s="234" t="s">
        <v>146</v>
      </c>
      <c r="C58" s="208"/>
      <c r="D58" s="215">
        <f>15.4</f>
        <v>15.4</v>
      </c>
      <c r="E58" s="215">
        <v>62.5</v>
      </c>
      <c r="F58" s="215">
        <f>95</f>
        <v>95</v>
      </c>
      <c r="G58" s="217">
        <f t="shared" si="8"/>
        <v>32.5</v>
      </c>
      <c r="H58" s="217">
        <f t="shared" si="9"/>
        <v>152</v>
      </c>
    </row>
    <row r="59" spans="1:8" ht="18.75" customHeight="1">
      <c r="A59" s="227"/>
      <c r="B59" s="232" t="s">
        <v>160</v>
      </c>
      <c r="C59" s="228"/>
      <c r="D59" s="215"/>
      <c r="E59" s="229">
        <v>2.5</v>
      </c>
      <c r="F59" s="215">
        <f>2.7</f>
        <v>2.7</v>
      </c>
      <c r="G59" s="217">
        <f t="shared" si="8"/>
        <v>0.20000000000000018</v>
      </c>
      <c r="H59" s="217">
        <f t="shared" si="9"/>
        <v>108</v>
      </c>
    </row>
    <row r="60" spans="1:8" ht="19.5" customHeight="1">
      <c r="A60" s="227"/>
      <c r="B60" s="232" t="s">
        <v>147</v>
      </c>
      <c r="C60" s="228"/>
      <c r="D60" s="215">
        <v>0.2</v>
      </c>
      <c r="E60" s="229">
        <v>0.3</v>
      </c>
      <c r="F60" s="215">
        <f>0.5</f>
        <v>0.5</v>
      </c>
      <c r="G60" s="217">
        <f t="shared" si="8"/>
        <v>0.2</v>
      </c>
      <c r="H60" s="217">
        <f t="shared" si="9"/>
        <v>166.66666666666669</v>
      </c>
    </row>
    <row r="61" spans="1:8" ht="19.5" customHeight="1">
      <c r="A61" s="227"/>
      <c r="B61" s="232" t="s">
        <v>215</v>
      </c>
      <c r="C61" s="228"/>
      <c r="D61" s="215">
        <f>13.2</f>
        <v>13.2</v>
      </c>
      <c r="E61" s="229">
        <v>12.8</v>
      </c>
      <c r="F61" s="215">
        <f>27</f>
        <v>27</v>
      </c>
      <c r="G61" s="217">
        <f t="shared" si="8"/>
        <v>14.2</v>
      </c>
      <c r="H61" s="217">
        <f t="shared" si="9"/>
        <v>210.9375</v>
      </c>
    </row>
    <row r="62" spans="1:8" ht="20.25" customHeight="1">
      <c r="A62" s="227"/>
      <c r="B62" s="232" t="s">
        <v>161</v>
      </c>
      <c r="C62" s="235"/>
      <c r="D62" s="215">
        <f>129.8</f>
        <v>129.80000000000001</v>
      </c>
      <c r="E62" s="216">
        <v>125</v>
      </c>
      <c r="F62" s="215">
        <f>146.3</f>
        <v>146.30000000000001</v>
      </c>
      <c r="G62" s="217">
        <f t="shared" si="8"/>
        <v>21.300000000000011</v>
      </c>
      <c r="H62" s="217">
        <f t="shared" si="9"/>
        <v>117.04</v>
      </c>
    </row>
    <row r="63" spans="1:8" ht="57" customHeight="1">
      <c r="A63" s="227"/>
      <c r="B63" s="232" t="s">
        <v>214</v>
      </c>
      <c r="C63" s="235"/>
      <c r="D63" s="215">
        <f>1.5</f>
        <v>1.5</v>
      </c>
      <c r="E63" s="216">
        <v>1.5</v>
      </c>
      <c r="F63" s="215"/>
      <c r="G63" s="217">
        <f t="shared" si="8"/>
        <v>-1.5</v>
      </c>
      <c r="H63" s="217">
        <f t="shared" si="9"/>
        <v>0</v>
      </c>
    </row>
    <row r="64" spans="1:8" ht="36" customHeight="1">
      <c r="A64" s="227"/>
      <c r="B64" s="232" t="s">
        <v>129</v>
      </c>
      <c r="C64" s="235"/>
      <c r="D64" s="215"/>
      <c r="E64" s="216">
        <v>6</v>
      </c>
      <c r="F64" s="215"/>
      <c r="G64" s="217">
        <f t="shared" si="8"/>
        <v>-6</v>
      </c>
      <c r="H64" s="217">
        <f t="shared" si="9"/>
        <v>0</v>
      </c>
    </row>
    <row r="65" spans="1:8" ht="36" customHeight="1">
      <c r="A65" s="227"/>
      <c r="B65" s="214" t="s">
        <v>292</v>
      </c>
      <c r="C65" s="235"/>
      <c r="D65" s="215"/>
      <c r="E65" s="215"/>
      <c r="F65" s="215">
        <v>23</v>
      </c>
      <c r="G65" s="217">
        <f t="shared" si="8"/>
        <v>23</v>
      </c>
      <c r="H65" s="222" t="e">
        <f t="shared" si="9"/>
        <v>#DIV/0!</v>
      </c>
    </row>
    <row r="66" spans="1:8" ht="55.5" customHeight="1">
      <c r="A66" s="227"/>
      <c r="B66" s="214" t="s">
        <v>254</v>
      </c>
      <c r="C66" s="235"/>
      <c r="D66" s="215">
        <v>1</v>
      </c>
      <c r="E66" s="216">
        <v>1</v>
      </c>
      <c r="F66" s="215"/>
      <c r="G66" s="217">
        <f t="shared" si="8"/>
        <v>-1</v>
      </c>
      <c r="H66" s="217">
        <f t="shared" si="9"/>
        <v>0</v>
      </c>
    </row>
    <row r="67" spans="1:8" ht="34.5" customHeight="1">
      <c r="A67" s="233"/>
      <c r="B67" s="236" t="s">
        <v>277</v>
      </c>
      <c r="C67" s="235"/>
      <c r="D67" s="215"/>
      <c r="E67" s="216">
        <v>99</v>
      </c>
      <c r="F67" s="215">
        <v>99</v>
      </c>
      <c r="G67" s="217">
        <f t="shared" si="8"/>
        <v>0</v>
      </c>
      <c r="H67" s="217">
        <f t="shared" si="9"/>
        <v>100</v>
      </c>
    </row>
    <row r="68" spans="1:8" ht="21" customHeight="1">
      <c r="A68" s="303" t="s">
        <v>77</v>
      </c>
      <c r="B68" s="304"/>
      <c r="C68" s="237"/>
      <c r="D68" s="196"/>
      <c r="E68" s="196"/>
      <c r="F68" s="196"/>
      <c r="G68" s="211"/>
      <c r="H68" s="211"/>
    </row>
    <row r="69" spans="1:8" ht="19.5" customHeight="1">
      <c r="A69" s="295" t="s">
        <v>89</v>
      </c>
      <c r="B69" s="296"/>
      <c r="C69" s="213">
        <v>1021</v>
      </c>
      <c r="D69" s="238">
        <f>SUM(D70:D72)</f>
        <v>5.0999999999999996</v>
      </c>
      <c r="E69" s="238">
        <f>SUM(E70:E72)</f>
        <v>52</v>
      </c>
      <c r="F69" s="238">
        <f>SUM(F70:F72)</f>
        <v>85</v>
      </c>
      <c r="G69" s="211">
        <f t="shared" si="8"/>
        <v>33</v>
      </c>
      <c r="H69" s="211">
        <f t="shared" si="9"/>
        <v>163.46153846153845</v>
      </c>
    </row>
    <row r="70" spans="1:8" ht="20.25" customHeight="1">
      <c r="A70" s="239"/>
      <c r="B70" s="232" t="s">
        <v>140</v>
      </c>
      <c r="C70" s="213"/>
      <c r="D70" s="215">
        <f>4</f>
        <v>4</v>
      </c>
      <c r="E70" s="215">
        <v>40</v>
      </c>
      <c r="F70" s="215">
        <v>85</v>
      </c>
      <c r="G70" s="217">
        <f t="shared" si="8"/>
        <v>45</v>
      </c>
      <c r="H70" s="217">
        <f t="shared" si="9"/>
        <v>212.5</v>
      </c>
    </row>
    <row r="71" spans="1:8" ht="22.5" customHeight="1">
      <c r="A71" s="239"/>
      <c r="B71" s="232" t="s">
        <v>114</v>
      </c>
      <c r="C71" s="213"/>
      <c r="D71" s="215">
        <f>1.1</f>
        <v>1.1000000000000001</v>
      </c>
      <c r="E71" s="229">
        <v>7</v>
      </c>
      <c r="F71" s="215"/>
      <c r="G71" s="217">
        <f t="shared" si="8"/>
        <v>-7</v>
      </c>
      <c r="H71" s="217">
        <f t="shared" si="9"/>
        <v>0</v>
      </c>
    </row>
    <row r="72" spans="1:8" ht="21.75" customHeight="1">
      <c r="A72" s="240"/>
      <c r="B72" s="232" t="s">
        <v>143</v>
      </c>
      <c r="C72" s="178"/>
      <c r="D72" s="215"/>
      <c r="E72" s="229">
        <v>5</v>
      </c>
      <c r="F72" s="215"/>
      <c r="G72" s="217">
        <f t="shared" si="8"/>
        <v>-5</v>
      </c>
      <c r="H72" s="217">
        <f t="shared" si="9"/>
        <v>0</v>
      </c>
    </row>
    <row r="73" spans="1:8" ht="24" customHeight="1">
      <c r="A73" s="295" t="s">
        <v>199</v>
      </c>
      <c r="B73" s="296"/>
      <c r="C73" s="213">
        <v>1025</v>
      </c>
      <c r="D73" s="238">
        <f>SUM(D74:D85)</f>
        <v>186.89999999999995</v>
      </c>
      <c r="E73" s="238">
        <f>SUM(E74:E84)</f>
        <v>177.3</v>
      </c>
      <c r="F73" s="238">
        <f>SUM(F74:F85)</f>
        <v>165.50000000000006</v>
      </c>
      <c r="G73" s="211">
        <f t="shared" si="8"/>
        <v>-11.799999999999955</v>
      </c>
      <c r="H73" s="211">
        <f t="shared" si="9"/>
        <v>93.344613649182207</v>
      </c>
    </row>
    <row r="74" spans="1:8" ht="18" customHeight="1">
      <c r="A74" s="239"/>
      <c r="B74" s="232" t="s">
        <v>116</v>
      </c>
      <c r="C74" s="213"/>
      <c r="D74" s="215">
        <f>21.3</f>
        <v>21.3</v>
      </c>
      <c r="E74" s="229">
        <v>23</v>
      </c>
      <c r="F74" s="215">
        <f>26.1</f>
        <v>26.1</v>
      </c>
      <c r="G74" s="217">
        <f t="shared" si="8"/>
        <v>3.1000000000000014</v>
      </c>
      <c r="H74" s="217">
        <f t="shared" si="9"/>
        <v>113.47826086956523</v>
      </c>
    </row>
    <row r="75" spans="1:8" ht="18" customHeight="1">
      <c r="A75" s="239"/>
      <c r="B75" s="232" t="s">
        <v>174</v>
      </c>
      <c r="C75" s="213"/>
      <c r="D75" s="215">
        <f>36</f>
        <v>36</v>
      </c>
      <c r="E75" s="229">
        <v>50</v>
      </c>
      <c r="F75" s="215">
        <f>43.1</f>
        <v>43.1</v>
      </c>
      <c r="G75" s="217">
        <f t="shared" si="8"/>
        <v>-6.8999999999999986</v>
      </c>
      <c r="H75" s="217">
        <f t="shared" si="9"/>
        <v>86.2</v>
      </c>
    </row>
    <row r="76" spans="1:8" ht="18" customHeight="1">
      <c r="A76" s="239"/>
      <c r="B76" s="232" t="s">
        <v>149</v>
      </c>
      <c r="C76" s="213"/>
      <c r="D76" s="215">
        <f>8.8</f>
        <v>8.8000000000000007</v>
      </c>
      <c r="E76" s="229">
        <v>15</v>
      </c>
      <c r="F76" s="215">
        <f>33.7</f>
        <v>33.700000000000003</v>
      </c>
      <c r="G76" s="217">
        <f t="shared" si="8"/>
        <v>18.700000000000003</v>
      </c>
      <c r="H76" s="217">
        <f t="shared" si="9"/>
        <v>224.66666666666671</v>
      </c>
    </row>
    <row r="77" spans="1:8" ht="18" customHeight="1">
      <c r="A77" s="239"/>
      <c r="B77" s="232" t="s">
        <v>150</v>
      </c>
      <c r="C77" s="213"/>
      <c r="D77" s="215">
        <f>12.4</f>
        <v>12.4</v>
      </c>
      <c r="E77" s="229">
        <v>20</v>
      </c>
      <c r="F77" s="215">
        <f>9</f>
        <v>9</v>
      </c>
      <c r="G77" s="217">
        <f t="shared" ref="G77:G90" si="11">F77-E77</f>
        <v>-11</v>
      </c>
      <c r="H77" s="217">
        <f t="shared" ref="H77:H90" si="12">(F77/E77)*100</f>
        <v>45</v>
      </c>
    </row>
    <row r="78" spans="1:8" ht="18" customHeight="1">
      <c r="A78" s="239"/>
      <c r="B78" s="232" t="s">
        <v>125</v>
      </c>
      <c r="C78" s="213"/>
      <c r="D78" s="215">
        <f>64.2</f>
        <v>64.2</v>
      </c>
      <c r="E78" s="229">
        <v>55</v>
      </c>
      <c r="F78" s="215">
        <v>41.2</v>
      </c>
      <c r="G78" s="217">
        <f t="shared" si="11"/>
        <v>-13.799999999999997</v>
      </c>
      <c r="H78" s="217">
        <f t="shared" si="12"/>
        <v>74.909090909090921</v>
      </c>
    </row>
    <row r="79" spans="1:8" ht="18" customHeight="1">
      <c r="A79" s="239"/>
      <c r="B79" s="232" t="s">
        <v>126</v>
      </c>
      <c r="C79" s="213"/>
      <c r="D79" s="215">
        <f>1.2</f>
        <v>1.2</v>
      </c>
      <c r="E79" s="229">
        <v>1.1000000000000001</v>
      </c>
      <c r="F79" s="215">
        <v>1.3</v>
      </c>
      <c r="G79" s="217">
        <f t="shared" si="11"/>
        <v>0.19999999999999996</v>
      </c>
      <c r="H79" s="217">
        <f t="shared" si="12"/>
        <v>118.18181818181816</v>
      </c>
    </row>
    <row r="80" spans="1:8" ht="18" customHeight="1">
      <c r="A80" s="239"/>
      <c r="B80" s="232" t="s">
        <v>127</v>
      </c>
      <c r="C80" s="213"/>
      <c r="D80" s="215">
        <f>13.2</f>
        <v>13.2</v>
      </c>
      <c r="E80" s="229">
        <v>11.3</v>
      </c>
      <c r="F80" s="215">
        <v>9</v>
      </c>
      <c r="G80" s="217">
        <f t="shared" si="11"/>
        <v>-2.3000000000000007</v>
      </c>
      <c r="H80" s="217">
        <f t="shared" si="12"/>
        <v>79.646017699115035</v>
      </c>
    </row>
    <row r="81" spans="1:8" ht="18" customHeight="1">
      <c r="A81" s="239"/>
      <c r="B81" s="232" t="s">
        <v>128</v>
      </c>
      <c r="C81" s="213"/>
      <c r="D81" s="215">
        <f>0.6</f>
        <v>0.6</v>
      </c>
      <c r="E81" s="229">
        <v>0.6</v>
      </c>
      <c r="F81" s="215">
        <v>0.9</v>
      </c>
      <c r="G81" s="217">
        <f t="shared" si="11"/>
        <v>0.30000000000000004</v>
      </c>
      <c r="H81" s="217">
        <f t="shared" si="12"/>
        <v>150</v>
      </c>
    </row>
    <row r="82" spans="1:8" ht="36.75" customHeight="1">
      <c r="A82" s="239"/>
      <c r="B82" s="232" t="s">
        <v>151</v>
      </c>
      <c r="C82" s="213"/>
      <c r="D82" s="215">
        <v>1.5</v>
      </c>
      <c r="E82" s="215">
        <v>1</v>
      </c>
      <c r="F82" s="215"/>
      <c r="G82" s="217">
        <f t="shared" si="11"/>
        <v>-1</v>
      </c>
      <c r="H82" s="217">
        <f t="shared" si="12"/>
        <v>0</v>
      </c>
    </row>
    <row r="83" spans="1:8" ht="18" customHeight="1">
      <c r="A83" s="239"/>
      <c r="B83" s="232" t="s">
        <v>38</v>
      </c>
      <c r="C83" s="213"/>
      <c r="D83" s="215">
        <v>0.2</v>
      </c>
      <c r="E83" s="215">
        <v>0.3</v>
      </c>
      <c r="F83" s="215">
        <v>0.3</v>
      </c>
      <c r="G83" s="217">
        <f t="shared" si="11"/>
        <v>0</v>
      </c>
      <c r="H83" s="217">
        <f t="shared" si="12"/>
        <v>100</v>
      </c>
    </row>
    <row r="84" spans="1:8" ht="37.5" customHeight="1">
      <c r="A84" s="239"/>
      <c r="B84" s="232" t="s">
        <v>249</v>
      </c>
      <c r="C84" s="213"/>
      <c r="D84" s="215">
        <v>1.2</v>
      </c>
      <c r="E84" s="215"/>
      <c r="F84" s="215">
        <v>0.9</v>
      </c>
      <c r="G84" s="217">
        <f t="shared" si="11"/>
        <v>0.9</v>
      </c>
      <c r="H84" s="222" t="e">
        <f t="shared" si="12"/>
        <v>#DIV/0!</v>
      </c>
    </row>
    <row r="85" spans="1:8" ht="21.75" customHeight="1">
      <c r="A85" s="241"/>
      <c r="B85" s="214" t="s">
        <v>245</v>
      </c>
      <c r="C85" s="178"/>
      <c r="D85" s="215">
        <v>26.3</v>
      </c>
      <c r="E85" s="215"/>
      <c r="F85" s="215"/>
      <c r="G85" s="217">
        <f t="shared" si="11"/>
        <v>0</v>
      </c>
      <c r="H85" s="222" t="e">
        <f t="shared" si="12"/>
        <v>#DIV/0!</v>
      </c>
    </row>
    <row r="86" spans="1:8" ht="22.5" customHeight="1">
      <c r="A86" s="303" t="s">
        <v>10</v>
      </c>
      <c r="B86" s="304"/>
      <c r="C86" s="213"/>
      <c r="D86" s="196"/>
      <c r="E86" s="196"/>
      <c r="F86" s="196"/>
      <c r="G86" s="211"/>
      <c r="H86" s="219"/>
    </row>
    <row r="87" spans="1:8" ht="18" customHeight="1">
      <c r="A87" s="295" t="s">
        <v>200</v>
      </c>
      <c r="B87" s="296"/>
      <c r="C87" s="231">
        <v>1035</v>
      </c>
      <c r="D87" s="196">
        <f>SUM(D88:D89)</f>
        <v>144.6</v>
      </c>
      <c r="E87" s="196">
        <f>SUM(E88:E89)</f>
        <v>137</v>
      </c>
      <c r="F87" s="196">
        <f>SUM(F88:F90)</f>
        <v>200.89999999999998</v>
      </c>
      <c r="G87" s="211">
        <f t="shared" si="11"/>
        <v>63.899999999999977</v>
      </c>
      <c r="H87" s="211">
        <f t="shared" si="12"/>
        <v>146.64233576642334</v>
      </c>
    </row>
    <row r="88" spans="1:8" ht="22.5" customHeight="1">
      <c r="A88" s="178"/>
      <c r="B88" s="232" t="s">
        <v>131</v>
      </c>
      <c r="C88" s="242"/>
      <c r="D88" s="215">
        <v>52.1</v>
      </c>
      <c r="E88" s="216">
        <v>62</v>
      </c>
      <c r="F88" s="215">
        <v>52.1</v>
      </c>
      <c r="G88" s="217">
        <f t="shared" si="11"/>
        <v>-9.8999999999999986</v>
      </c>
      <c r="H88" s="217">
        <f t="shared" si="12"/>
        <v>84.032258064516128</v>
      </c>
    </row>
    <row r="89" spans="1:8" ht="21" customHeight="1">
      <c r="A89" s="178"/>
      <c r="B89" s="214" t="s">
        <v>135</v>
      </c>
      <c r="C89" s="235"/>
      <c r="D89" s="215">
        <v>92.5</v>
      </c>
      <c r="E89" s="216">
        <v>75</v>
      </c>
      <c r="F89" s="215">
        <v>132.19999999999999</v>
      </c>
      <c r="G89" s="217">
        <f t="shared" si="11"/>
        <v>57.199999999999989</v>
      </c>
      <c r="H89" s="217">
        <f t="shared" si="12"/>
        <v>176.26666666666665</v>
      </c>
    </row>
    <row r="90" spans="1:8" ht="24.75" customHeight="1">
      <c r="A90" s="178"/>
      <c r="B90" s="214" t="s">
        <v>293</v>
      </c>
      <c r="C90" s="235"/>
      <c r="D90" s="215"/>
      <c r="E90" s="216"/>
      <c r="F90" s="215">
        <v>16.600000000000001</v>
      </c>
      <c r="G90" s="217">
        <f t="shared" si="11"/>
        <v>16.600000000000001</v>
      </c>
      <c r="H90" s="222" t="e">
        <f t="shared" si="12"/>
        <v>#DIV/0!</v>
      </c>
    </row>
    <row r="91" spans="1:8" ht="127.5" customHeight="1">
      <c r="B91" s="300" t="s">
        <v>133</v>
      </c>
      <c r="C91" s="300"/>
      <c r="D91" s="298"/>
      <c r="E91" s="298"/>
      <c r="F91" s="300" t="s">
        <v>257</v>
      </c>
      <c r="G91" s="300"/>
      <c r="H91" s="300"/>
    </row>
    <row r="92" spans="1:8" ht="18.75" customHeight="1">
      <c r="B92" s="202" t="s">
        <v>54</v>
      </c>
      <c r="C92" s="243"/>
      <c r="D92" s="299" t="s">
        <v>9</v>
      </c>
      <c r="E92" s="299"/>
      <c r="F92" s="294" t="s">
        <v>14</v>
      </c>
      <c r="G92" s="294"/>
      <c r="H92" s="294"/>
    </row>
    <row r="93" spans="1:8">
      <c r="B93" s="243"/>
    </row>
    <row r="94" spans="1:8">
      <c r="B94" s="243"/>
    </row>
    <row r="95" spans="1:8">
      <c r="B95" s="243"/>
    </row>
    <row r="96" spans="1:8">
      <c r="B96" s="243"/>
    </row>
    <row r="97" spans="2:2">
      <c r="B97" s="243"/>
    </row>
    <row r="98" spans="2:2">
      <c r="B98" s="243"/>
    </row>
    <row r="99" spans="2:2">
      <c r="B99" s="243"/>
    </row>
    <row r="100" spans="2:2">
      <c r="B100" s="243"/>
    </row>
    <row r="101" spans="2:2">
      <c r="B101" s="243"/>
    </row>
    <row r="102" spans="2:2">
      <c r="B102" s="243"/>
    </row>
    <row r="103" spans="2:2">
      <c r="B103" s="243"/>
    </row>
    <row r="104" spans="2:2">
      <c r="B104" s="243"/>
    </row>
    <row r="105" spans="2:2">
      <c r="B105" s="243"/>
    </row>
    <row r="106" spans="2:2">
      <c r="B106" s="243"/>
    </row>
    <row r="107" spans="2:2">
      <c r="B107" s="243"/>
    </row>
    <row r="108" spans="2:2">
      <c r="B108" s="243"/>
    </row>
    <row r="109" spans="2:2">
      <c r="B109" s="243"/>
    </row>
    <row r="110" spans="2:2">
      <c r="B110" s="243"/>
    </row>
    <row r="111" spans="2:2">
      <c r="B111" s="243"/>
    </row>
    <row r="112" spans="2:2">
      <c r="B112" s="243"/>
    </row>
    <row r="113" spans="2:2">
      <c r="B113" s="243"/>
    </row>
    <row r="114" spans="2:2">
      <c r="B114" s="243"/>
    </row>
    <row r="115" spans="2:2">
      <c r="B115" s="243"/>
    </row>
    <row r="116" spans="2:2">
      <c r="B116" s="243"/>
    </row>
    <row r="117" spans="2:2">
      <c r="B117" s="243"/>
    </row>
    <row r="118" spans="2:2">
      <c r="B118" s="243"/>
    </row>
    <row r="119" spans="2:2">
      <c r="B119" s="243"/>
    </row>
    <row r="120" spans="2:2">
      <c r="B120" s="243"/>
    </row>
    <row r="121" spans="2:2">
      <c r="B121" s="243"/>
    </row>
    <row r="122" spans="2:2">
      <c r="B122" s="243"/>
    </row>
    <row r="123" spans="2:2">
      <c r="B123" s="243"/>
    </row>
    <row r="124" spans="2:2">
      <c r="B124" s="243"/>
    </row>
    <row r="125" spans="2:2">
      <c r="B125" s="243"/>
    </row>
    <row r="126" spans="2:2">
      <c r="B126" s="243"/>
    </row>
    <row r="127" spans="2:2">
      <c r="B127" s="243"/>
    </row>
    <row r="128" spans="2:2">
      <c r="B128" s="243"/>
    </row>
    <row r="129" spans="2:2">
      <c r="B129" s="243"/>
    </row>
    <row r="130" spans="2:2">
      <c r="B130" s="243"/>
    </row>
    <row r="131" spans="2:2">
      <c r="B131" s="243"/>
    </row>
    <row r="132" spans="2:2">
      <c r="B132" s="243"/>
    </row>
    <row r="133" spans="2:2">
      <c r="B133" s="243"/>
    </row>
    <row r="134" spans="2:2">
      <c r="B134" s="243"/>
    </row>
    <row r="135" spans="2:2">
      <c r="B135" s="243"/>
    </row>
    <row r="136" spans="2:2">
      <c r="B136" s="243"/>
    </row>
    <row r="137" spans="2:2">
      <c r="B137" s="243"/>
    </row>
    <row r="138" spans="2:2">
      <c r="B138" s="243"/>
    </row>
    <row r="139" spans="2:2">
      <c r="B139" s="243"/>
    </row>
    <row r="140" spans="2:2">
      <c r="B140" s="243"/>
    </row>
    <row r="141" spans="2:2">
      <c r="B141" s="243"/>
    </row>
    <row r="142" spans="2:2">
      <c r="B142" s="243"/>
    </row>
    <row r="143" spans="2:2">
      <c r="B143" s="243"/>
    </row>
    <row r="144" spans="2:2">
      <c r="B144" s="243"/>
    </row>
    <row r="145" spans="2:2">
      <c r="B145" s="243"/>
    </row>
    <row r="146" spans="2:2">
      <c r="B146" s="243"/>
    </row>
    <row r="147" spans="2:2">
      <c r="B147" s="243"/>
    </row>
    <row r="148" spans="2:2">
      <c r="B148" s="243"/>
    </row>
    <row r="149" spans="2:2">
      <c r="B149" s="243"/>
    </row>
    <row r="150" spans="2:2">
      <c r="B150" s="243"/>
    </row>
    <row r="151" spans="2:2">
      <c r="B151" s="243"/>
    </row>
    <row r="152" spans="2:2">
      <c r="B152" s="243"/>
    </row>
    <row r="153" spans="2:2">
      <c r="B153" s="243"/>
    </row>
    <row r="154" spans="2:2">
      <c r="B154" s="243"/>
    </row>
    <row r="155" spans="2:2">
      <c r="B155" s="243"/>
    </row>
    <row r="156" spans="2:2">
      <c r="B156" s="243"/>
    </row>
    <row r="157" spans="2:2">
      <c r="B157" s="243"/>
    </row>
    <row r="158" spans="2:2">
      <c r="B158" s="243"/>
    </row>
    <row r="159" spans="2:2">
      <c r="B159" s="243"/>
    </row>
    <row r="160" spans="2:2">
      <c r="B160" s="243"/>
    </row>
    <row r="161" spans="2:2">
      <c r="B161" s="243"/>
    </row>
    <row r="162" spans="2:2">
      <c r="B162" s="243"/>
    </row>
    <row r="163" spans="2:2">
      <c r="B163" s="243"/>
    </row>
    <row r="164" spans="2:2">
      <c r="B164" s="243"/>
    </row>
    <row r="165" spans="2:2">
      <c r="B165" s="243"/>
    </row>
    <row r="166" spans="2:2">
      <c r="B166" s="243"/>
    </row>
    <row r="167" spans="2:2">
      <c r="B167" s="243"/>
    </row>
    <row r="168" spans="2:2">
      <c r="B168" s="243"/>
    </row>
    <row r="169" spans="2:2">
      <c r="B169" s="243"/>
    </row>
    <row r="170" spans="2:2">
      <c r="B170" s="243"/>
    </row>
    <row r="171" spans="2:2">
      <c r="B171" s="243"/>
    </row>
    <row r="172" spans="2:2">
      <c r="B172" s="243"/>
    </row>
    <row r="173" spans="2:2">
      <c r="B173" s="243"/>
    </row>
    <row r="174" spans="2:2">
      <c r="B174" s="243"/>
    </row>
    <row r="175" spans="2:2">
      <c r="B175" s="243"/>
    </row>
    <row r="176" spans="2:2">
      <c r="B176" s="243"/>
    </row>
    <row r="177" spans="2:2">
      <c r="B177" s="243"/>
    </row>
    <row r="178" spans="2:2">
      <c r="B178" s="243"/>
    </row>
    <row r="179" spans="2:2">
      <c r="B179" s="243"/>
    </row>
    <row r="180" spans="2:2">
      <c r="B180" s="243"/>
    </row>
    <row r="181" spans="2:2">
      <c r="B181" s="243"/>
    </row>
    <row r="182" spans="2:2">
      <c r="B182" s="243"/>
    </row>
    <row r="183" spans="2:2">
      <c r="B183" s="243"/>
    </row>
    <row r="184" spans="2:2">
      <c r="B184" s="243"/>
    </row>
    <row r="185" spans="2:2">
      <c r="B185" s="243"/>
    </row>
    <row r="186" spans="2:2">
      <c r="B186" s="243"/>
    </row>
    <row r="187" spans="2:2">
      <c r="B187" s="243"/>
    </row>
    <row r="188" spans="2:2">
      <c r="B188" s="243"/>
    </row>
    <row r="189" spans="2:2">
      <c r="B189" s="243"/>
    </row>
    <row r="190" spans="2:2">
      <c r="B190" s="243"/>
    </row>
    <row r="191" spans="2:2">
      <c r="B191" s="243"/>
    </row>
    <row r="192" spans="2:2">
      <c r="B192" s="243"/>
    </row>
    <row r="193" spans="2:2">
      <c r="B193" s="243"/>
    </row>
    <row r="194" spans="2:2">
      <c r="B194" s="243"/>
    </row>
    <row r="195" spans="2:2">
      <c r="B195" s="243"/>
    </row>
    <row r="196" spans="2:2">
      <c r="B196" s="243"/>
    </row>
  </sheetData>
  <mergeCells count="20">
    <mergeCell ref="F91:H91"/>
    <mergeCell ref="A24:B24"/>
    <mergeCell ref="A68:B68"/>
    <mergeCell ref="A86:B86"/>
    <mergeCell ref="F92:H92"/>
    <mergeCell ref="A73:B73"/>
    <mergeCell ref="A87:B87"/>
    <mergeCell ref="A1:H1"/>
    <mergeCell ref="D91:E91"/>
    <mergeCell ref="D92:E92"/>
    <mergeCell ref="B91:C91"/>
    <mergeCell ref="A23:B23"/>
    <mergeCell ref="A5:B5"/>
    <mergeCell ref="A6:B6"/>
    <mergeCell ref="A10:B10"/>
    <mergeCell ref="A19:B19"/>
    <mergeCell ref="A21:B21"/>
    <mergeCell ref="A25:B25"/>
    <mergeCell ref="A43:B43"/>
    <mergeCell ref="A69:B69"/>
  </mergeCells>
  <printOptions horizontalCentered="1"/>
  <pageMargins left="0.39370078740157483" right="0.39370078740157483" top="0.78740157480314965" bottom="0.39370078740157483" header="0.39370078740157483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R205"/>
  <sheetViews>
    <sheetView view="pageBreakPreview" topLeftCell="A157" zoomScale="80" zoomScaleNormal="70" zoomScaleSheetLayoutView="80" workbookViewId="0">
      <selection activeCell="B170" sqref="B170:C170"/>
    </sheetView>
  </sheetViews>
  <sheetFormatPr defaultRowHeight="18.75"/>
  <cols>
    <col min="1" max="1" width="9" style="115" customWidth="1"/>
    <col min="2" max="2" width="63.140625" style="115" customWidth="1"/>
    <col min="3" max="3" width="10.7109375" style="32" customWidth="1"/>
    <col min="4" max="4" width="15.140625" style="32" customWidth="1"/>
    <col min="5" max="5" width="15.85546875" style="32" customWidth="1"/>
    <col min="6" max="6" width="16" style="32" customWidth="1"/>
    <col min="7" max="7" width="14.7109375" style="115" customWidth="1"/>
    <col min="8" max="8" width="14.140625" style="115" customWidth="1"/>
    <col min="9" max="9" width="15.42578125" style="115" customWidth="1"/>
    <col min="10" max="10" width="16.85546875" style="116" bestFit="1" customWidth="1"/>
    <col min="11" max="11" width="15.7109375" style="135" customWidth="1"/>
    <col min="12" max="12" width="16" style="190" customWidth="1"/>
    <col min="13" max="13" width="17.140625" style="190" customWidth="1"/>
    <col min="14" max="14" width="16.7109375" style="115" customWidth="1"/>
    <col min="15" max="15" width="11.28515625" style="115" bestFit="1" customWidth="1"/>
    <col min="16" max="16" width="12.7109375" style="115" customWidth="1"/>
    <col min="17" max="17" width="5.7109375" style="115" customWidth="1"/>
    <col min="18" max="16384" width="9.140625" style="115"/>
  </cols>
  <sheetData>
    <row r="1" spans="1:18" ht="47.25" customHeight="1">
      <c r="A1" s="133"/>
      <c r="B1" s="309" t="s">
        <v>100</v>
      </c>
      <c r="C1" s="309"/>
      <c r="D1" s="309"/>
      <c r="E1" s="309"/>
      <c r="F1" s="309"/>
      <c r="G1" s="309"/>
      <c r="H1" s="309"/>
    </row>
    <row r="2" spans="1:18" ht="18.75" customHeight="1">
      <c r="A2" s="133"/>
      <c r="B2" s="199"/>
      <c r="C2" s="198"/>
      <c r="D2" s="199"/>
      <c r="E2" s="199"/>
      <c r="F2" s="199"/>
      <c r="G2" s="133"/>
      <c r="H2" s="133" t="s">
        <v>59</v>
      </c>
    </row>
    <row r="3" spans="1:18" s="117" customFormat="1" ht="63" customHeight="1">
      <c r="A3" s="31" t="s">
        <v>6</v>
      </c>
      <c r="B3" s="31" t="s">
        <v>20</v>
      </c>
      <c r="C3" s="31" t="s">
        <v>4</v>
      </c>
      <c r="D3" s="9" t="s">
        <v>225</v>
      </c>
      <c r="E3" s="31" t="s">
        <v>266</v>
      </c>
      <c r="F3" s="9" t="s">
        <v>267</v>
      </c>
      <c r="G3" s="9" t="s">
        <v>187</v>
      </c>
      <c r="H3" s="9" t="s">
        <v>188</v>
      </c>
      <c r="J3" s="134"/>
      <c r="K3" s="135"/>
      <c r="L3" s="135"/>
      <c r="M3" s="135"/>
    </row>
    <row r="4" spans="1:18" s="117" customFormat="1" ht="19.5" customHeight="1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J4" s="134"/>
      <c r="K4" s="135"/>
      <c r="L4" s="135"/>
      <c r="M4" s="135"/>
    </row>
    <row r="5" spans="1:18" s="117" customFormat="1" ht="31.5" customHeight="1">
      <c r="A5" s="310" t="s">
        <v>70</v>
      </c>
      <c r="B5" s="311"/>
      <c r="C5" s="139"/>
      <c r="D5" s="28">
        <f>SUM(D6,D67,D74,D80,D102,D113,D118,D147,D160,D164,D142)</f>
        <v>56683.8</v>
      </c>
      <c r="E5" s="28">
        <f>SUM(E6,E62,E67,E74,E80,E102,E113,E118,E147,E160,E164)</f>
        <v>68632.5</v>
      </c>
      <c r="F5" s="28">
        <f>SUM(F6,F62,F67,F74,F80,F102,F113,F118,F131,F137,F147,F160,F164,F142,F96)</f>
        <v>81171.399999999994</v>
      </c>
      <c r="G5" s="75">
        <f t="shared" ref="G5" si="0">F5-E5</f>
        <v>12538.899999999994</v>
      </c>
      <c r="H5" s="75">
        <f t="shared" ref="H5" si="1">(F5/E5)*100</f>
        <v>118.26962444905837</v>
      </c>
      <c r="J5" s="135"/>
      <c r="K5" s="135"/>
      <c r="L5" s="135"/>
      <c r="M5" s="135"/>
    </row>
    <row r="6" spans="1:18" s="117" customFormat="1" ht="41.25" customHeight="1">
      <c r="A6" s="13" t="s">
        <v>71</v>
      </c>
      <c r="B6" s="260" t="s">
        <v>101</v>
      </c>
      <c r="C6" s="261"/>
      <c r="D6" s="28">
        <f>SUM(D8,D43,D56)</f>
        <v>46321.700000000004</v>
      </c>
      <c r="E6" s="28">
        <f>SUM(E8,E43,E56)</f>
        <v>56816.2</v>
      </c>
      <c r="F6" s="28">
        <f>SUM(F8,F43,F56)</f>
        <v>62568.200000000004</v>
      </c>
      <c r="G6" s="75">
        <f>F6-E6</f>
        <v>5752.0000000000073</v>
      </c>
      <c r="H6" s="75">
        <f>(F6/E6)*100</f>
        <v>110.12387312069447</v>
      </c>
      <c r="I6" s="136"/>
      <c r="J6" s="135"/>
      <c r="K6" s="135"/>
      <c r="L6" s="135"/>
      <c r="M6" s="135"/>
      <c r="N6" s="137"/>
    </row>
    <row r="7" spans="1:18" s="117" customFormat="1" ht="24" customHeight="1">
      <c r="A7" s="9"/>
      <c r="B7" s="138" t="s">
        <v>72</v>
      </c>
      <c r="C7" s="139"/>
      <c r="D7" s="27"/>
      <c r="E7" s="27"/>
      <c r="F7" s="27"/>
      <c r="G7" s="75"/>
      <c r="H7" s="75"/>
      <c r="J7" s="134"/>
      <c r="K7" s="135">
        <f>K9+K16+K23</f>
        <v>56683.8</v>
      </c>
      <c r="L7" s="135">
        <f t="shared" ref="L7:M7" si="2">L9+L16+L23</f>
        <v>68632.5</v>
      </c>
      <c r="M7" s="135">
        <f t="shared" si="2"/>
        <v>81171.400000000009</v>
      </c>
    </row>
    <row r="8" spans="1:18" s="117" customFormat="1" ht="43.5" customHeight="1">
      <c r="A8" s="140" t="s">
        <v>73</v>
      </c>
      <c r="B8" s="21" t="s">
        <v>76</v>
      </c>
      <c r="C8" s="141">
        <v>1010</v>
      </c>
      <c r="D8" s="142">
        <f>SUM(D9,D18,D19,D21,D20)</f>
        <v>42639.5</v>
      </c>
      <c r="E8" s="142">
        <f>SUM(E9,E18,E19,E20,E21)</f>
        <v>52569.2</v>
      </c>
      <c r="F8" s="142">
        <f>SUM(F9,F18,F19,F21,F20)</f>
        <v>57401.200000000004</v>
      </c>
      <c r="G8" s="143">
        <f t="shared" ref="G8:G15" si="3">F8-E8</f>
        <v>4832.0000000000073</v>
      </c>
      <c r="H8" s="143">
        <f t="shared" ref="H8:H9" si="4">(F8/E8)*100</f>
        <v>109.19169399572375</v>
      </c>
      <c r="I8" s="136"/>
      <c r="J8" s="134"/>
      <c r="K8" s="191"/>
      <c r="L8" s="192"/>
      <c r="M8" s="191"/>
      <c r="N8" s="176"/>
      <c r="P8" s="137"/>
    </row>
    <row r="9" spans="1:18" s="117" customFormat="1" ht="22.5" customHeight="1">
      <c r="A9" s="144" t="s">
        <v>162</v>
      </c>
      <c r="B9" s="138" t="s">
        <v>89</v>
      </c>
      <c r="C9" s="154">
        <v>1011</v>
      </c>
      <c r="D9" s="152">
        <f>SUM(D10:D17)</f>
        <v>7579.9000000000005</v>
      </c>
      <c r="E9" s="152">
        <f>SUM(E10:E17)</f>
        <v>11945</v>
      </c>
      <c r="F9" s="152">
        <f>SUM(F10:F17)</f>
        <v>13418.5</v>
      </c>
      <c r="G9" s="155">
        <f t="shared" si="3"/>
        <v>1473.5</v>
      </c>
      <c r="H9" s="155">
        <f t="shared" si="4"/>
        <v>112.33570531603181</v>
      </c>
      <c r="I9" s="136"/>
      <c r="J9" s="134">
        <v>1010</v>
      </c>
      <c r="K9" s="191">
        <f>SUM(D8,D64,D69,D76,D82,D98,D104,D120,D133,D139,D144,D149,D166)</f>
        <v>52578.9</v>
      </c>
      <c r="L9" s="191">
        <f>SUM(E8,E64,E69,E76,E82,E98,E104,E120,E133,E139,E144,E149,E166)</f>
        <v>63671.199999999997</v>
      </c>
      <c r="M9" s="191">
        <f>SUM(F8,F64,F69,F76,F82,F98,F104,F120,F133,F139,F144,F149,F166)</f>
        <v>75491.3</v>
      </c>
      <c r="N9" s="176"/>
    </row>
    <row r="10" spans="1:18" s="117" customFormat="1" ht="37.5">
      <c r="A10" s="145"/>
      <c r="B10" s="29" t="s">
        <v>190</v>
      </c>
      <c r="C10" s="9"/>
      <c r="D10" s="27">
        <v>49.6</v>
      </c>
      <c r="E10" s="146">
        <v>70</v>
      </c>
      <c r="F10" s="27"/>
      <c r="G10" s="19">
        <f t="shared" si="3"/>
        <v>-70</v>
      </c>
      <c r="H10" s="184" t="e">
        <f>G10/F10*100</f>
        <v>#DIV/0!</v>
      </c>
      <c r="I10" s="137"/>
      <c r="J10" s="134">
        <v>1011</v>
      </c>
      <c r="K10" s="192">
        <f>SUM(D9,D70,D99,D105,D121,D134,D140,D145,D150,D77,D83)</f>
        <v>13911.900000000001</v>
      </c>
      <c r="L10" s="192">
        <f>SUM(E9,E70,E99,E105,E121,E134,E140,E145,E150,E77,E83)</f>
        <v>16544.7</v>
      </c>
      <c r="M10" s="192">
        <f>SUM(F9,F70,F99,F105,F121,F134,F140,F145,F150,F77,F83,)</f>
        <v>24673.700000000004</v>
      </c>
      <c r="N10" s="176"/>
    </row>
    <row r="11" spans="1:18" s="117" customFormat="1" ht="38.25" customHeight="1">
      <c r="A11" s="145"/>
      <c r="B11" s="16" t="s">
        <v>246</v>
      </c>
      <c r="C11" s="9"/>
      <c r="D11" s="27">
        <v>135.30000000000001</v>
      </c>
      <c r="E11" s="146">
        <v>200</v>
      </c>
      <c r="F11" s="27">
        <v>110.5</v>
      </c>
      <c r="G11" s="19">
        <f t="shared" si="3"/>
        <v>-89.5</v>
      </c>
      <c r="H11" s="19">
        <f t="shared" ref="H11:H15" si="5">G11/F11*100</f>
        <v>-80.995475113122168</v>
      </c>
      <c r="I11" s="137"/>
      <c r="J11" s="134">
        <v>1012</v>
      </c>
      <c r="K11" s="192">
        <f t="shared" ref="K11:M12" si="6">SUM(D18,D65,D72,)</f>
        <v>28416.7</v>
      </c>
      <c r="L11" s="192">
        <f t="shared" si="6"/>
        <v>32821.599999999999</v>
      </c>
      <c r="M11" s="192">
        <f t="shared" si="6"/>
        <v>35468.200000000004</v>
      </c>
      <c r="N11" s="176"/>
    </row>
    <row r="12" spans="1:18" s="117" customFormat="1" ht="21" customHeight="1">
      <c r="A12" s="145"/>
      <c r="B12" s="33" t="s">
        <v>140</v>
      </c>
      <c r="C12" s="9"/>
      <c r="D12" s="27">
        <v>16.899999999999999</v>
      </c>
      <c r="E12" s="20">
        <v>70</v>
      </c>
      <c r="F12" s="27">
        <v>23.7</v>
      </c>
      <c r="G12" s="19">
        <f t="shared" si="3"/>
        <v>-46.3</v>
      </c>
      <c r="H12" s="19">
        <f t="shared" si="5"/>
        <v>-195.35864978902953</v>
      </c>
      <c r="I12" s="137"/>
      <c r="J12" s="134">
        <v>1013</v>
      </c>
      <c r="K12" s="192">
        <f t="shared" si="6"/>
        <v>6193.1</v>
      </c>
      <c r="L12" s="192">
        <f t="shared" si="6"/>
        <v>7135.7</v>
      </c>
      <c r="M12" s="192">
        <f t="shared" si="6"/>
        <v>7690.5999999999995</v>
      </c>
      <c r="N12" s="176"/>
    </row>
    <row r="13" spans="1:18" s="117" customFormat="1" ht="24.75" customHeight="1">
      <c r="A13" s="145"/>
      <c r="B13" s="33" t="s">
        <v>113</v>
      </c>
      <c r="C13" s="9"/>
      <c r="D13" s="27"/>
      <c r="E13" s="146">
        <v>5</v>
      </c>
      <c r="F13" s="27"/>
      <c r="G13" s="19">
        <f t="shared" si="3"/>
        <v>-5</v>
      </c>
      <c r="H13" s="19"/>
      <c r="I13" s="137"/>
      <c r="J13" s="134">
        <v>1014</v>
      </c>
      <c r="K13" s="192">
        <f>SUM(D20,D167)</f>
        <v>3847.3</v>
      </c>
      <c r="L13" s="192">
        <f>SUM(E20,E167)</f>
        <v>6375</v>
      </c>
      <c r="M13" s="192">
        <f>SUM(F20,F167)</f>
        <v>6986</v>
      </c>
      <c r="N13" s="176"/>
    </row>
    <row r="14" spans="1:18" s="117" customFormat="1" ht="36.75" customHeight="1">
      <c r="A14" s="145"/>
      <c r="B14" s="33" t="s">
        <v>274</v>
      </c>
      <c r="C14" s="9"/>
      <c r="D14" s="27"/>
      <c r="E14" s="146">
        <v>80</v>
      </c>
      <c r="F14" s="27">
        <v>92.3</v>
      </c>
      <c r="G14" s="19">
        <f t="shared" si="3"/>
        <v>12.299999999999997</v>
      </c>
      <c r="H14" s="19">
        <f t="shared" si="5"/>
        <v>13.3261105092091</v>
      </c>
      <c r="I14" s="137"/>
      <c r="J14" s="147">
        <v>1015</v>
      </c>
      <c r="K14" s="192">
        <f>SUM(D21,D153,)</f>
        <v>209.90000000000003</v>
      </c>
      <c r="L14" s="192">
        <f>SUM(E21,E153,)</f>
        <v>794.19999999999993</v>
      </c>
      <c r="M14" s="192">
        <f>SUM(F21,F153,)</f>
        <v>672.8</v>
      </c>
      <c r="N14" s="149"/>
      <c r="O14" s="150"/>
      <c r="R14" s="150"/>
    </row>
    <row r="15" spans="1:18" s="117" customFormat="1" ht="22.5" customHeight="1">
      <c r="A15" s="145"/>
      <c r="B15" s="16" t="s">
        <v>142</v>
      </c>
      <c r="C15" s="9"/>
      <c r="D15" s="27"/>
      <c r="E15" s="146">
        <v>20</v>
      </c>
      <c r="F15" s="27"/>
      <c r="G15" s="19">
        <f t="shared" si="3"/>
        <v>-20</v>
      </c>
      <c r="H15" s="184" t="e">
        <f t="shared" si="5"/>
        <v>#DIV/0!</v>
      </c>
      <c r="I15" s="147"/>
      <c r="J15" s="134"/>
      <c r="K15" s="151"/>
      <c r="L15" s="190"/>
      <c r="M15" s="190"/>
      <c r="N15" s="115"/>
    </row>
    <row r="16" spans="1:18" s="117" customFormat="1" ht="24" customHeight="1">
      <c r="A16" s="145"/>
      <c r="B16" s="16" t="s">
        <v>111</v>
      </c>
      <c r="C16" s="9"/>
      <c r="D16" s="27">
        <v>7149.5</v>
      </c>
      <c r="E16" s="20">
        <v>11000</v>
      </c>
      <c r="F16" s="27">
        <f>12145.2+291.5</f>
        <v>12436.7</v>
      </c>
      <c r="G16" s="19">
        <f t="shared" ref="G16:G52" si="7">F16-E16</f>
        <v>1436.7000000000007</v>
      </c>
      <c r="H16" s="19">
        <f t="shared" ref="H16:H55" si="8">(F16/E16)*100</f>
        <v>113.06090909090909</v>
      </c>
      <c r="J16" s="134">
        <v>1020</v>
      </c>
      <c r="K16" s="191">
        <f>SUM(D43,D90,D110,D115,D157,)</f>
        <v>2461.7999999999997</v>
      </c>
      <c r="L16" s="191">
        <f t="shared" ref="L16:M16" si="9">SUM(E43,E90,E110,E115,E157,)</f>
        <v>2989.3</v>
      </c>
      <c r="M16" s="191">
        <f t="shared" si="9"/>
        <v>3578.3000000000006</v>
      </c>
      <c r="N16" s="148"/>
    </row>
    <row r="17" spans="1:14" s="117" customFormat="1" ht="25.5" customHeight="1">
      <c r="A17" s="145"/>
      <c r="B17" s="16" t="s">
        <v>132</v>
      </c>
      <c r="C17" s="9"/>
      <c r="D17" s="27">
        <v>228.6</v>
      </c>
      <c r="E17" s="262">
        <v>500</v>
      </c>
      <c r="F17" s="27">
        <v>755.3</v>
      </c>
      <c r="G17" s="19">
        <f t="shared" si="7"/>
        <v>255.29999999999995</v>
      </c>
      <c r="H17" s="19">
        <f t="shared" si="8"/>
        <v>151.06</v>
      </c>
      <c r="I17" s="153"/>
      <c r="J17" s="134">
        <v>1021</v>
      </c>
      <c r="K17" s="192">
        <f>SUM(D44,D116,)</f>
        <v>5.0999999999999996</v>
      </c>
      <c r="L17" s="192">
        <f t="shared" ref="L17:M17" si="10">SUM(E44,E116,)</f>
        <v>52</v>
      </c>
      <c r="M17" s="192">
        <f t="shared" si="10"/>
        <v>85</v>
      </c>
    </row>
    <row r="18" spans="1:14" s="117" customFormat="1" ht="24" customHeight="1">
      <c r="A18" s="144" t="s">
        <v>163</v>
      </c>
      <c r="B18" s="138" t="s">
        <v>1</v>
      </c>
      <c r="C18" s="154">
        <v>1012</v>
      </c>
      <c r="D18" s="152">
        <v>28398.3</v>
      </c>
      <c r="E18" s="177">
        <v>32500</v>
      </c>
      <c r="F18" s="152">
        <v>35174.5</v>
      </c>
      <c r="G18" s="155">
        <f t="shared" si="7"/>
        <v>2674.5</v>
      </c>
      <c r="H18" s="155">
        <f t="shared" si="8"/>
        <v>108.22923076923077</v>
      </c>
      <c r="I18" s="153"/>
      <c r="J18" s="134">
        <v>1022</v>
      </c>
      <c r="K18" s="192">
        <f>SUM(D47,)</f>
        <v>1893.7</v>
      </c>
      <c r="L18" s="192">
        <f t="shared" ref="L18:M18" si="11">SUM(E47,)</f>
        <v>2300</v>
      </c>
      <c r="M18" s="192">
        <f t="shared" si="11"/>
        <v>2790</v>
      </c>
      <c r="N18" s="137"/>
    </row>
    <row r="19" spans="1:14" s="117" customFormat="1" ht="21.75" customHeight="1">
      <c r="A19" s="144" t="s">
        <v>164</v>
      </c>
      <c r="B19" s="138" t="s">
        <v>2</v>
      </c>
      <c r="C19" s="154">
        <v>1013</v>
      </c>
      <c r="D19" s="152">
        <v>6189.1</v>
      </c>
      <c r="E19" s="177">
        <v>7065</v>
      </c>
      <c r="F19" s="152">
        <v>7626</v>
      </c>
      <c r="G19" s="155">
        <f t="shared" si="7"/>
        <v>561</v>
      </c>
      <c r="H19" s="155">
        <f t="shared" si="8"/>
        <v>107.94055201698514</v>
      </c>
      <c r="I19" s="156"/>
      <c r="J19" s="134">
        <v>1023</v>
      </c>
      <c r="K19" s="192">
        <f>SUM(D48,)</f>
        <v>376.1</v>
      </c>
      <c r="L19" s="192">
        <f t="shared" ref="L19:M19" si="12">SUM(E48,)</f>
        <v>460</v>
      </c>
      <c r="M19" s="192">
        <f t="shared" si="12"/>
        <v>537.79999999999995</v>
      </c>
      <c r="N19" s="115"/>
    </row>
    <row r="20" spans="1:14" s="117" customFormat="1" ht="25.5" customHeight="1">
      <c r="A20" s="144" t="s">
        <v>224</v>
      </c>
      <c r="B20" s="138" t="s">
        <v>3</v>
      </c>
      <c r="C20" s="154">
        <v>1014</v>
      </c>
      <c r="D20" s="152">
        <v>264.8</v>
      </c>
      <c r="E20" s="177">
        <v>375</v>
      </c>
      <c r="F20" s="152">
        <f>356.6+251.8</f>
        <v>608.40000000000009</v>
      </c>
      <c r="G20" s="155">
        <f t="shared" ref="G20" si="13">F20-E20</f>
        <v>233.40000000000009</v>
      </c>
      <c r="H20" s="155">
        <f t="shared" si="8"/>
        <v>162.24000000000004</v>
      </c>
      <c r="I20" s="156"/>
      <c r="J20" s="134">
        <v>1024</v>
      </c>
      <c r="K20" s="191"/>
      <c r="L20" s="192"/>
      <c r="M20" s="192"/>
      <c r="N20" s="115"/>
    </row>
    <row r="21" spans="1:14" s="117" customFormat="1" ht="22.5" customHeight="1">
      <c r="A21" s="144" t="s">
        <v>224</v>
      </c>
      <c r="B21" s="138" t="s">
        <v>79</v>
      </c>
      <c r="C21" s="154">
        <v>1015</v>
      </c>
      <c r="D21" s="152">
        <f>SUM(D22:D41)</f>
        <v>207.40000000000003</v>
      </c>
      <c r="E21" s="152">
        <f>SUM(E22:E41)</f>
        <v>684.19999999999993</v>
      </c>
      <c r="F21" s="152">
        <f>SUM(F22:F42)</f>
        <v>573.79999999999995</v>
      </c>
      <c r="G21" s="155">
        <f>F21-E21</f>
        <v>-110.39999999999998</v>
      </c>
      <c r="H21" s="155">
        <f>(F21/E21)*100</f>
        <v>83.864367144109906</v>
      </c>
      <c r="J21" s="134">
        <v>1025</v>
      </c>
      <c r="K21" s="192">
        <f>SUM(D49,D91,D111,D158)</f>
        <v>186.89999999999998</v>
      </c>
      <c r="L21" s="192">
        <f t="shared" ref="L21:M21" si="14">SUM(E49,E91,E111,E158)</f>
        <v>177.3</v>
      </c>
      <c r="M21" s="192">
        <f t="shared" si="14"/>
        <v>165.5</v>
      </c>
      <c r="N21" s="148"/>
    </row>
    <row r="22" spans="1:14" ht="36.75" customHeight="1">
      <c r="A22" s="145"/>
      <c r="B22" s="29" t="s">
        <v>191</v>
      </c>
      <c r="C22" s="9"/>
      <c r="D22" s="27">
        <v>3.2</v>
      </c>
      <c r="E22" s="20">
        <v>25</v>
      </c>
      <c r="F22" s="27">
        <v>7.6</v>
      </c>
      <c r="G22" s="19">
        <f t="shared" si="7"/>
        <v>-17.399999999999999</v>
      </c>
      <c r="H22" s="19">
        <f t="shared" si="8"/>
        <v>30.4</v>
      </c>
      <c r="I22" s="148"/>
      <c r="J22" s="134"/>
      <c r="K22" s="190"/>
      <c r="N22" s="148"/>
    </row>
    <row r="23" spans="1:14" ht="36.75" customHeight="1">
      <c r="A23" s="145"/>
      <c r="B23" s="33" t="s">
        <v>192</v>
      </c>
      <c r="C23" s="9"/>
      <c r="D23" s="27"/>
      <c r="E23" s="20">
        <v>4</v>
      </c>
      <c r="F23" s="27">
        <v>4.5</v>
      </c>
      <c r="G23" s="19">
        <f t="shared" si="7"/>
        <v>0.5</v>
      </c>
      <c r="H23" s="19">
        <f t="shared" si="8"/>
        <v>112.5</v>
      </c>
      <c r="J23" s="134">
        <v>1030</v>
      </c>
      <c r="K23" s="135">
        <f>SUM(D56,D162,D168)</f>
        <v>1643.1</v>
      </c>
      <c r="L23" s="135">
        <f t="shared" ref="L23:M23" si="15">SUM(E56,E162,E168)</f>
        <v>1972</v>
      </c>
      <c r="M23" s="135">
        <f t="shared" si="15"/>
        <v>2101.7999999999997</v>
      </c>
      <c r="N23" s="148"/>
    </row>
    <row r="24" spans="1:14" ht="22.5" customHeight="1">
      <c r="A24" s="145"/>
      <c r="B24" s="33" t="s">
        <v>117</v>
      </c>
      <c r="C24" s="13"/>
      <c r="D24" s="27">
        <v>11.5</v>
      </c>
      <c r="E24" s="20">
        <v>11</v>
      </c>
      <c r="F24" s="27">
        <v>12.2</v>
      </c>
      <c r="G24" s="19">
        <f t="shared" si="7"/>
        <v>1.1999999999999993</v>
      </c>
      <c r="H24" s="19">
        <f t="shared" si="8"/>
        <v>110.90909090909091</v>
      </c>
      <c r="J24" s="134">
        <v>1031</v>
      </c>
      <c r="K24" s="190"/>
      <c r="N24" s="148"/>
    </row>
    <row r="25" spans="1:14" ht="22.5" customHeight="1">
      <c r="A25" s="145"/>
      <c r="B25" s="33" t="s">
        <v>193</v>
      </c>
      <c r="C25" s="13"/>
      <c r="D25" s="27">
        <v>3.5</v>
      </c>
      <c r="E25" s="20">
        <v>3.5</v>
      </c>
      <c r="F25" s="27">
        <v>3.6</v>
      </c>
      <c r="G25" s="19">
        <f t="shared" si="7"/>
        <v>0.10000000000000009</v>
      </c>
      <c r="H25" s="19">
        <f t="shared" si="8"/>
        <v>102.85714285714288</v>
      </c>
      <c r="I25" s="157"/>
      <c r="J25" s="134">
        <v>1032</v>
      </c>
      <c r="K25" s="190">
        <f>SUM(D57,)</f>
        <v>970</v>
      </c>
      <c r="L25" s="190">
        <f t="shared" ref="L25:M25" si="16">SUM(E57,)</f>
        <v>1000</v>
      </c>
      <c r="M25" s="190">
        <f t="shared" si="16"/>
        <v>1218.3</v>
      </c>
    </row>
    <row r="26" spans="1:14" ht="21.75" customHeight="1">
      <c r="A26" s="145"/>
      <c r="B26" s="33" t="s">
        <v>270</v>
      </c>
      <c r="C26" s="13"/>
      <c r="D26" s="27"/>
      <c r="E26" s="20">
        <v>150</v>
      </c>
      <c r="F26" s="27">
        <v>182.4</v>
      </c>
      <c r="G26" s="19">
        <f t="shared" si="7"/>
        <v>32.400000000000006</v>
      </c>
      <c r="H26" s="19">
        <f t="shared" si="8"/>
        <v>121.6</v>
      </c>
      <c r="I26" s="148"/>
      <c r="J26" s="134">
        <v>1033</v>
      </c>
      <c r="K26" s="190">
        <f>SUM(D58,)</f>
        <v>186.7</v>
      </c>
      <c r="L26" s="190">
        <f t="shared" ref="L26:M26" si="17">SUM(E58,)</f>
        <v>195</v>
      </c>
      <c r="M26" s="190">
        <f t="shared" si="17"/>
        <v>238.8</v>
      </c>
    </row>
    <row r="27" spans="1:14" ht="37.5" customHeight="1">
      <c r="A27" s="145"/>
      <c r="B27" s="33" t="s">
        <v>194</v>
      </c>
      <c r="C27" s="13"/>
      <c r="D27" s="27">
        <v>13.6</v>
      </c>
      <c r="E27" s="20">
        <v>17</v>
      </c>
      <c r="F27" s="27">
        <v>14.4</v>
      </c>
      <c r="G27" s="19">
        <f t="shared" si="7"/>
        <v>-2.5999999999999996</v>
      </c>
      <c r="H27" s="19">
        <f t="shared" si="8"/>
        <v>84.705882352941174</v>
      </c>
      <c r="I27" s="148"/>
      <c r="J27" s="134">
        <v>1034</v>
      </c>
      <c r="K27" s="194">
        <f>SUM(D169)</f>
        <v>341.8</v>
      </c>
      <c r="L27" s="190">
        <f t="shared" ref="L27:M27" si="18">SUM(E169)</f>
        <v>640</v>
      </c>
      <c r="M27" s="190">
        <f t="shared" si="18"/>
        <v>443.8</v>
      </c>
      <c r="N27" s="148"/>
    </row>
    <row r="28" spans="1:14" ht="21" customHeight="1">
      <c r="A28" s="145"/>
      <c r="B28" s="33" t="s">
        <v>120</v>
      </c>
      <c r="C28" s="13"/>
      <c r="D28" s="20">
        <v>10.199999999999999</v>
      </c>
      <c r="E28" s="20">
        <v>10.5</v>
      </c>
      <c r="F28" s="20">
        <v>11.6</v>
      </c>
      <c r="G28" s="19">
        <f t="shared" si="7"/>
        <v>1.0999999999999996</v>
      </c>
      <c r="H28" s="19">
        <f t="shared" si="8"/>
        <v>110.47619047619048</v>
      </c>
      <c r="I28" s="148"/>
      <c r="J28" s="134">
        <v>1035</v>
      </c>
      <c r="K28" s="190">
        <f>SUM(D59,D163,)</f>
        <v>144.6</v>
      </c>
      <c r="L28" s="190">
        <f t="shared" ref="L28:M28" si="19">SUM(E59,E163,)</f>
        <v>137</v>
      </c>
      <c r="M28" s="190">
        <f t="shared" si="19"/>
        <v>200.89999999999998</v>
      </c>
      <c r="N28" s="153"/>
    </row>
    <row r="29" spans="1:14" ht="21" customHeight="1">
      <c r="A29" s="145"/>
      <c r="B29" s="33" t="s">
        <v>122</v>
      </c>
      <c r="C29" s="9"/>
      <c r="D29" s="20">
        <v>5.3</v>
      </c>
      <c r="E29" s="20">
        <v>8.5</v>
      </c>
      <c r="F29" s="20">
        <v>11.6</v>
      </c>
      <c r="G29" s="19">
        <f t="shared" si="7"/>
        <v>3.0999999999999996</v>
      </c>
      <c r="H29" s="19">
        <f t="shared" si="8"/>
        <v>136.47058823529412</v>
      </c>
      <c r="J29" s="115"/>
      <c r="K29" s="115"/>
      <c r="L29" s="115"/>
      <c r="M29" s="115"/>
      <c r="N29" s="153"/>
    </row>
    <row r="30" spans="1:14" ht="23.25" customHeight="1">
      <c r="A30" s="145"/>
      <c r="B30" s="158" t="s">
        <v>176</v>
      </c>
      <c r="C30" s="9"/>
      <c r="D30" s="27"/>
      <c r="E30" s="20">
        <v>1.2</v>
      </c>
      <c r="F30" s="27"/>
      <c r="G30" s="19">
        <f t="shared" si="7"/>
        <v>-1.2</v>
      </c>
      <c r="H30" s="19">
        <f t="shared" si="8"/>
        <v>0</v>
      </c>
      <c r="J30" s="134">
        <v>9000</v>
      </c>
      <c r="K30" s="190">
        <f t="shared" ref="K30:M34" si="20">K10+K17+K24</f>
        <v>13917.000000000002</v>
      </c>
      <c r="L30" s="190">
        <f t="shared" si="20"/>
        <v>16596.7</v>
      </c>
      <c r="M30" s="190">
        <f t="shared" si="20"/>
        <v>24758.700000000004</v>
      </c>
      <c r="N30" s="136"/>
    </row>
    <row r="31" spans="1:14" ht="22.5" customHeight="1">
      <c r="A31" s="145"/>
      <c r="B31" s="33" t="s">
        <v>124</v>
      </c>
      <c r="C31" s="9"/>
      <c r="D31" s="27"/>
      <c r="E31" s="20">
        <v>10</v>
      </c>
      <c r="F31" s="27">
        <v>11.7</v>
      </c>
      <c r="G31" s="19">
        <f t="shared" si="7"/>
        <v>1.6999999999999993</v>
      </c>
      <c r="H31" s="19">
        <f t="shared" si="8"/>
        <v>117</v>
      </c>
      <c r="J31" s="134">
        <v>9010</v>
      </c>
      <c r="K31" s="190">
        <f t="shared" si="20"/>
        <v>31280.400000000001</v>
      </c>
      <c r="L31" s="190">
        <f t="shared" si="20"/>
        <v>36121.599999999999</v>
      </c>
      <c r="M31" s="190">
        <f t="shared" si="20"/>
        <v>39476.500000000007</v>
      </c>
    </row>
    <row r="32" spans="1:14" ht="56.25" customHeight="1">
      <c r="A32" s="145"/>
      <c r="B32" s="33" t="s">
        <v>214</v>
      </c>
      <c r="C32" s="9"/>
      <c r="D32" s="27">
        <v>1.5</v>
      </c>
      <c r="E32" s="20">
        <v>1.5</v>
      </c>
      <c r="F32" s="27"/>
      <c r="G32" s="19">
        <f t="shared" si="7"/>
        <v>-1.5</v>
      </c>
      <c r="H32" s="19">
        <f t="shared" si="8"/>
        <v>0</v>
      </c>
      <c r="J32" s="134">
        <v>9020</v>
      </c>
      <c r="K32" s="190">
        <f t="shared" si="20"/>
        <v>6755.9000000000005</v>
      </c>
      <c r="L32" s="190">
        <f t="shared" si="20"/>
        <v>7790.7</v>
      </c>
      <c r="M32" s="190">
        <f t="shared" si="20"/>
        <v>8467.1999999999989</v>
      </c>
    </row>
    <row r="33" spans="1:13" ht="22.5" customHeight="1">
      <c r="A33" s="145"/>
      <c r="B33" s="16" t="s">
        <v>175</v>
      </c>
      <c r="C33" s="159"/>
      <c r="D33" s="27"/>
      <c r="E33" s="20">
        <v>6</v>
      </c>
      <c r="F33" s="27"/>
      <c r="G33" s="19">
        <f t="shared" si="7"/>
        <v>-6</v>
      </c>
      <c r="H33" s="19">
        <f t="shared" si="8"/>
        <v>0</v>
      </c>
      <c r="J33" s="134">
        <v>9030</v>
      </c>
      <c r="K33" s="190">
        <f t="shared" si="20"/>
        <v>4189.1000000000004</v>
      </c>
      <c r="L33" s="190">
        <f t="shared" si="20"/>
        <v>7015</v>
      </c>
      <c r="M33" s="190">
        <f t="shared" si="20"/>
        <v>7429.8</v>
      </c>
    </row>
    <row r="34" spans="1:13" ht="115.5" customHeight="1">
      <c r="A34" s="145"/>
      <c r="B34" s="16" t="s">
        <v>273</v>
      </c>
      <c r="C34" s="9"/>
      <c r="D34" s="27">
        <f>7.2+2.2+6</f>
        <v>15.4</v>
      </c>
      <c r="E34" s="20">
        <v>62.5</v>
      </c>
      <c r="F34" s="27">
        <f>9+2.4+5+5.6+63+10</f>
        <v>95</v>
      </c>
      <c r="G34" s="19">
        <f t="shared" si="7"/>
        <v>32.5</v>
      </c>
      <c r="H34" s="19">
        <f t="shared" si="8"/>
        <v>152</v>
      </c>
      <c r="J34" s="134">
        <v>9040</v>
      </c>
      <c r="K34" s="190">
        <f t="shared" si="20"/>
        <v>541.4</v>
      </c>
      <c r="L34" s="190">
        <f t="shared" si="20"/>
        <v>1108.5</v>
      </c>
      <c r="M34" s="190">
        <f t="shared" si="20"/>
        <v>1039.1999999999998</v>
      </c>
    </row>
    <row r="35" spans="1:13" ht="21.75" customHeight="1">
      <c r="A35" s="145"/>
      <c r="B35" s="33" t="s">
        <v>272</v>
      </c>
      <c r="C35" s="9"/>
      <c r="D35" s="27"/>
      <c r="E35" s="20">
        <v>2.5</v>
      </c>
      <c r="F35" s="27">
        <v>2.7</v>
      </c>
      <c r="G35" s="19">
        <f t="shared" si="7"/>
        <v>0.20000000000000018</v>
      </c>
      <c r="H35" s="19">
        <f t="shared" si="8"/>
        <v>108</v>
      </c>
      <c r="J35" s="134">
        <v>9050</v>
      </c>
      <c r="K35" s="135">
        <f>SUM(K30:K34)</f>
        <v>56683.8</v>
      </c>
      <c r="L35" s="135">
        <f>SUM(L30:L34)</f>
        <v>68632.5</v>
      </c>
      <c r="M35" s="135">
        <f>SUM(M30:M34)</f>
        <v>81171.400000000009</v>
      </c>
    </row>
    <row r="36" spans="1:13" ht="20.25" customHeight="1">
      <c r="A36" s="145"/>
      <c r="B36" s="33" t="s">
        <v>147</v>
      </c>
      <c r="C36" s="9"/>
      <c r="D36" s="27">
        <v>0.2</v>
      </c>
      <c r="E36" s="20">
        <v>0.3</v>
      </c>
      <c r="F36" s="27">
        <v>0.5</v>
      </c>
      <c r="G36" s="19">
        <f t="shared" si="7"/>
        <v>0.2</v>
      </c>
      <c r="H36" s="19">
        <f t="shared" si="8"/>
        <v>166.66666666666669</v>
      </c>
    </row>
    <row r="37" spans="1:13" ht="21" customHeight="1">
      <c r="A37" s="145"/>
      <c r="B37" s="33" t="s">
        <v>215</v>
      </c>
      <c r="C37" s="9"/>
      <c r="D37" s="27">
        <v>13.2</v>
      </c>
      <c r="E37" s="20">
        <v>12.8</v>
      </c>
      <c r="F37" s="27">
        <v>27</v>
      </c>
      <c r="G37" s="19">
        <f t="shared" si="7"/>
        <v>14.2</v>
      </c>
      <c r="H37" s="19">
        <f t="shared" si="8"/>
        <v>210.9375</v>
      </c>
    </row>
    <row r="38" spans="1:13" ht="36.75" customHeight="1">
      <c r="A38" s="145"/>
      <c r="B38" s="33" t="s">
        <v>288</v>
      </c>
      <c r="C38" s="9"/>
      <c r="D38" s="27"/>
      <c r="E38" s="20">
        <v>84.5</v>
      </c>
      <c r="F38" s="27"/>
      <c r="G38" s="19"/>
      <c r="H38" s="19"/>
    </row>
    <row r="39" spans="1:13" ht="20.25" customHeight="1">
      <c r="A39" s="145"/>
      <c r="B39" s="33" t="s">
        <v>130</v>
      </c>
      <c r="C39" s="9"/>
      <c r="D39" s="27"/>
      <c r="E39" s="20">
        <v>129</v>
      </c>
      <c r="F39" s="27">
        <v>19.7</v>
      </c>
      <c r="G39" s="19">
        <f t="shared" si="7"/>
        <v>-109.3</v>
      </c>
      <c r="H39" s="19">
        <f t="shared" si="8"/>
        <v>15.271317829457365</v>
      </c>
    </row>
    <row r="40" spans="1:13" ht="24" customHeight="1">
      <c r="A40" s="145"/>
      <c r="B40" s="33" t="s">
        <v>161</v>
      </c>
      <c r="C40" s="9"/>
      <c r="D40" s="27">
        <v>129.80000000000001</v>
      </c>
      <c r="E40" s="20">
        <v>125</v>
      </c>
      <c r="F40" s="27">
        <v>146.30000000000001</v>
      </c>
      <c r="G40" s="19">
        <f t="shared" si="7"/>
        <v>21.300000000000011</v>
      </c>
      <c r="H40" s="19">
        <f t="shared" si="8"/>
        <v>117.04</v>
      </c>
    </row>
    <row r="41" spans="1:13" ht="21" customHeight="1">
      <c r="A41" s="145"/>
      <c r="B41" s="16" t="s">
        <v>223</v>
      </c>
      <c r="C41" s="9"/>
      <c r="D41" s="27"/>
      <c r="E41" s="20">
        <v>19.399999999999999</v>
      </c>
      <c r="F41" s="27"/>
      <c r="G41" s="19"/>
      <c r="H41" s="19"/>
    </row>
    <row r="42" spans="1:13" ht="21.75" customHeight="1">
      <c r="A42" s="145"/>
      <c r="B42" s="16" t="s">
        <v>271</v>
      </c>
      <c r="C42" s="9"/>
      <c r="D42" s="27"/>
      <c r="E42" s="27"/>
      <c r="F42" s="27">
        <v>23</v>
      </c>
      <c r="G42" s="19"/>
      <c r="H42" s="19"/>
    </row>
    <row r="43" spans="1:13" ht="21.75" customHeight="1">
      <c r="A43" s="140" t="s">
        <v>74</v>
      </c>
      <c r="B43" s="160" t="s">
        <v>77</v>
      </c>
      <c r="C43" s="141">
        <v>1020</v>
      </c>
      <c r="D43" s="142">
        <f>SUM(D44,D47,D48,D49)</f>
        <v>2380.9</v>
      </c>
      <c r="E43" s="142">
        <f>SUM(E44,E47,E48,E49)</f>
        <v>2915</v>
      </c>
      <c r="F43" s="142">
        <f>SUM(F44,F47,F48,F49)</f>
        <v>3525.6000000000004</v>
      </c>
      <c r="G43" s="143">
        <f t="shared" si="7"/>
        <v>610.60000000000036</v>
      </c>
      <c r="H43" s="143">
        <f t="shared" si="8"/>
        <v>120.94682675814752</v>
      </c>
    </row>
    <row r="44" spans="1:13" s="117" customFormat="1" ht="20.25" customHeight="1">
      <c r="A44" s="144" t="s">
        <v>165</v>
      </c>
      <c r="B44" s="138" t="s">
        <v>89</v>
      </c>
      <c r="C44" s="154">
        <v>1021</v>
      </c>
      <c r="D44" s="152">
        <f>SUM(D45:D46)</f>
        <v>5.0999999999999996</v>
      </c>
      <c r="E44" s="152">
        <f>SUM(E45:E46)</f>
        <v>47</v>
      </c>
      <c r="F44" s="152">
        <f>SUM(F45:F46)</f>
        <v>85</v>
      </c>
      <c r="G44" s="155">
        <f t="shared" si="7"/>
        <v>38</v>
      </c>
      <c r="H44" s="155">
        <f t="shared" si="8"/>
        <v>180.85106382978725</v>
      </c>
      <c r="J44" s="134"/>
      <c r="K44" s="135"/>
      <c r="L44" s="135"/>
      <c r="M44" s="135"/>
    </row>
    <row r="45" spans="1:13" ht="20.25" customHeight="1">
      <c r="A45" s="114"/>
      <c r="B45" s="33" t="s">
        <v>140</v>
      </c>
      <c r="C45" s="9"/>
      <c r="D45" s="27">
        <v>4</v>
      </c>
      <c r="E45" s="146">
        <v>40</v>
      </c>
      <c r="F45" s="27">
        <v>85</v>
      </c>
      <c r="G45" s="19">
        <f t="shared" si="7"/>
        <v>45</v>
      </c>
      <c r="H45" s="19">
        <f t="shared" si="8"/>
        <v>212.5</v>
      </c>
    </row>
    <row r="46" spans="1:13" ht="22.5" customHeight="1">
      <c r="A46" s="114"/>
      <c r="B46" s="33" t="s">
        <v>114</v>
      </c>
      <c r="C46" s="9"/>
      <c r="D46" s="27">
        <v>1.1000000000000001</v>
      </c>
      <c r="E46" s="146">
        <v>7</v>
      </c>
      <c r="F46" s="27"/>
      <c r="G46" s="19">
        <f t="shared" si="7"/>
        <v>-7</v>
      </c>
      <c r="H46" s="184" t="e">
        <f t="shared" ref="H46" si="21">G46/F46*100</f>
        <v>#DIV/0!</v>
      </c>
    </row>
    <row r="47" spans="1:13" s="117" customFormat="1" ht="18" customHeight="1">
      <c r="A47" s="144" t="s">
        <v>166</v>
      </c>
      <c r="B47" s="138" t="s">
        <v>1</v>
      </c>
      <c r="C47" s="154">
        <v>1022</v>
      </c>
      <c r="D47" s="152">
        <v>1893.7</v>
      </c>
      <c r="E47" s="245">
        <v>2300</v>
      </c>
      <c r="F47" s="152">
        <v>2790</v>
      </c>
      <c r="G47" s="155">
        <f t="shared" si="7"/>
        <v>490</v>
      </c>
      <c r="H47" s="155">
        <f t="shared" si="8"/>
        <v>121.30434782608697</v>
      </c>
      <c r="J47" s="134"/>
      <c r="K47" s="135"/>
      <c r="L47" s="135"/>
      <c r="M47" s="135"/>
    </row>
    <row r="48" spans="1:13" s="117" customFormat="1" ht="21.75" customHeight="1">
      <c r="A48" s="144" t="s">
        <v>167</v>
      </c>
      <c r="B48" s="138" t="s">
        <v>2</v>
      </c>
      <c r="C48" s="154">
        <v>1023</v>
      </c>
      <c r="D48" s="152">
        <v>376.1</v>
      </c>
      <c r="E48" s="245">
        <v>460</v>
      </c>
      <c r="F48" s="152">
        <v>537.79999999999995</v>
      </c>
      <c r="G48" s="155">
        <f t="shared" si="7"/>
        <v>77.799999999999955</v>
      </c>
      <c r="H48" s="155">
        <f t="shared" si="8"/>
        <v>116.91304347826086</v>
      </c>
      <c r="J48" s="134"/>
      <c r="K48" s="135"/>
      <c r="L48" s="135"/>
      <c r="M48" s="135"/>
    </row>
    <row r="49" spans="1:13" s="117" customFormat="1" ht="17.25" customHeight="1">
      <c r="A49" s="144" t="s">
        <v>243</v>
      </c>
      <c r="B49" s="162" t="s">
        <v>152</v>
      </c>
      <c r="C49" s="154">
        <v>1025</v>
      </c>
      <c r="D49" s="246">
        <f>SUM(D50:D55)</f>
        <v>106</v>
      </c>
      <c r="E49" s="246">
        <f>SUM(E50:E54)</f>
        <v>108</v>
      </c>
      <c r="F49" s="246">
        <f>SUM(F50:F55)</f>
        <v>112.8</v>
      </c>
      <c r="G49" s="155">
        <f t="shared" si="7"/>
        <v>4.7999999999999972</v>
      </c>
      <c r="H49" s="155">
        <f t="shared" si="8"/>
        <v>104.44444444444446</v>
      </c>
      <c r="J49" s="134"/>
      <c r="K49" s="135"/>
      <c r="L49" s="135"/>
      <c r="M49" s="135"/>
    </row>
    <row r="50" spans="1:13" ht="17.25" customHeight="1">
      <c r="A50" s="114"/>
      <c r="B50" s="33" t="s">
        <v>249</v>
      </c>
      <c r="C50" s="13"/>
      <c r="D50" s="27">
        <v>1.2</v>
      </c>
      <c r="E50" s="161"/>
      <c r="F50" s="27">
        <v>0.9</v>
      </c>
      <c r="G50" s="19">
        <f t="shared" si="7"/>
        <v>0.9</v>
      </c>
      <c r="H50" s="19"/>
    </row>
    <row r="51" spans="1:13" ht="18" customHeight="1">
      <c r="A51" s="114"/>
      <c r="B51" s="29" t="s">
        <v>116</v>
      </c>
      <c r="C51" s="9"/>
      <c r="D51" s="20">
        <v>21.3</v>
      </c>
      <c r="E51" s="20">
        <v>23</v>
      </c>
      <c r="F51" s="20">
        <v>26.1</v>
      </c>
      <c r="G51" s="19">
        <f t="shared" si="7"/>
        <v>3.1000000000000014</v>
      </c>
      <c r="H51" s="19">
        <f t="shared" si="8"/>
        <v>113.47826086956523</v>
      </c>
    </row>
    <row r="52" spans="1:13" ht="18" customHeight="1">
      <c r="A52" s="114"/>
      <c r="B52" s="33" t="s">
        <v>174</v>
      </c>
      <c r="C52" s="9"/>
      <c r="D52" s="20">
        <v>36</v>
      </c>
      <c r="E52" s="20">
        <v>50</v>
      </c>
      <c r="F52" s="20">
        <f>21.1+22</f>
        <v>43.1</v>
      </c>
      <c r="G52" s="19">
        <f t="shared" si="7"/>
        <v>-6.8999999999999986</v>
      </c>
      <c r="H52" s="19">
        <f t="shared" si="8"/>
        <v>86.2</v>
      </c>
    </row>
    <row r="53" spans="1:13" ht="18" customHeight="1">
      <c r="A53" s="114"/>
      <c r="B53" s="33" t="s">
        <v>149</v>
      </c>
      <c r="C53" s="9"/>
      <c r="D53" s="20">
        <v>8.8000000000000007</v>
      </c>
      <c r="E53" s="20">
        <v>15</v>
      </c>
      <c r="F53" s="20">
        <v>33.700000000000003</v>
      </c>
      <c r="G53" s="19">
        <f t="shared" ref="G53:G56" si="22">F53-E53</f>
        <v>18.700000000000003</v>
      </c>
      <c r="H53" s="19">
        <f t="shared" si="8"/>
        <v>224.66666666666671</v>
      </c>
    </row>
    <row r="54" spans="1:13" ht="18" customHeight="1">
      <c r="A54" s="114"/>
      <c r="B54" s="16" t="s">
        <v>150</v>
      </c>
      <c r="C54" s="9"/>
      <c r="D54" s="27">
        <v>12.4</v>
      </c>
      <c r="E54" s="20">
        <v>20</v>
      </c>
      <c r="F54" s="27">
        <v>9</v>
      </c>
      <c r="G54" s="19">
        <f t="shared" si="22"/>
        <v>-11</v>
      </c>
      <c r="H54" s="19">
        <f t="shared" si="8"/>
        <v>45</v>
      </c>
    </row>
    <row r="55" spans="1:13" ht="18" customHeight="1">
      <c r="A55" s="114"/>
      <c r="B55" s="16" t="s">
        <v>245</v>
      </c>
      <c r="C55" s="9"/>
      <c r="D55" s="27">
        <v>26.3</v>
      </c>
      <c r="E55" s="142"/>
      <c r="F55" s="27"/>
      <c r="G55" s="19"/>
      <c r="H55" s="184" t="e">
        <f t="shared" si="8"/>
        <v>#DIV/0!</v>
      </c>
    </row>
    <row r="56" spans="1:13" ht="21" customHeight="1">
      <c r="A56" s="140" t="s">
        <v>168</v>
      </c>
      <c r="B56" s="163" t="s">
        <v>10</v>
      </c>
      <c r="C56" s="141">
        <v>1030</v>
      </c>
      <c r="D56" s="142">
        <f>SUM(D57,D58,D59)</f>
        <v>1301.3</v>
      </c>
      <c r="E56" s="142">
        <f>SUM(E57,E58,E59)</f>
        <v>1332</v>
      </c>
      <c r="F56" s="142">
        <f>SUM(F57,F58,F59)</f>
        <v>1641.3999999999999</v>
      </c>
      <c r="G56" s="143">
        <f t="shared" si="22"/>
        <v>309.39999999999986</v>
      </c>
      <c r="H56" s="143">
        <f t="shared" ref="H56" si="23">(F56/E56)*100</f>
        <v>123.2282282282282</v>
      </c>
    </row>
    <row r="57" spans="1:13" s="117" customFormat="1" ht="23.25" customHeight="1">
      <c r="A57" s="144" t="s">
        <v>244</v>
      </c>
      <c r="B57" s="162" t="s">
        <v>1</v>
      </c>
      <c r="C57" s="154">
        <v>1032</v>
      </c>
      <c r="D57" s="152">
        <v>970</v>
      </c>
      <c r="E57" s="247">
        <v>1000</v>
      </c>
      <c r="F57" s="152">
        <v>1218.3</v>
      </c>
      <c r="G57" s="155">
        <f t="shared" ref="G57" si="24">F57-E57</f>
        <v>218.29999999999995</v>
      </c>
      <c r="H57" s="155">
        <f t="shared" ref="H57" si="25">(F57/E57)*100</f>
        <v>121.83</v>
      </c>
      <c r="J57" s="134"/>
      <c r="K57" s="135"/>
      <c r="L57" s="135"/>
      <c r="M57" s="135"/>
    </row>
    <row r="58" spans="1:13" s="117" customFormat="1" ht="22.5" customHeight="1">
      <c r="A58" s="144" t="s">
        <v>204</v>
      </c>
      <c r="B58" s="162" t="s">
        <v>206</v>
      </c>
      <c r="C58" s="164">
        <v>1033</v>
      </c>
      <c r="D58" s="152">
        <v>186.7</v>
      </c>
      <c r="E58" s="248">
        <v>195</v>
      </c>
      <c r="F58" s="152">
        <v>238.8</v>
      </c>
      <c r="G58" s="155">
        <f t="shared" ref="G58:G60" si="26">F58-E58</f>
        <v>43.800000000000011</v>
      </c>
      <c r="H58" s="155">
        <f t="shared" ref="H58:H60" si="27">(F58/E58)*100</f>
        <v>122.46153846153847</v>
      </c>
      <c r="J58" s="134"/>
      <c r="K58" s="135"/>
      <c r="L58" s="135"/>
      <c r="M58" s="135"/>
    </row>
    <row r="59" spans="1:13" s="117" customFormat="1" ht="21" customHeight="1">
      <c r="A59" s="144" t="s">
        <v>205</v>
      </c>
      <c r="B59" s="138" t="s">
        <v>200</v>
      </c>
      <c r="C59" s="154">
        <v>1035</v>
      </c>
      <c r="D59" s="152">
        <f>D60+D61</f>
        <v>144.6</v>
      </c>
      <c r="E59" s="152">
        <f t="shared" ref="E59" si="28">E60+E61</f>
        <v>137</v>
      </c>
      <c r="F59" s="152">
        <f>F60+F61</f>
        <v>184.29999999999998</v>
      </c>
      <c r="G59" s="155">
        <f t="shared" si="26"/>
        <v>47.299999999999983</v>
      </c>
      <c r="H59" s="155">
        <f t="shared" si="27"/>
        <v>134.52554744525546</v>
      </c>
      <c r="J59" s="134"/>
      <c r="K59" s="135"/>
      <c r="L59" s="135"/>
      <c r="M59" s="135"/>
    </row>
    <row r="60" spans="1:13" ht="23.25" customHeight="1">
      <c r="A60" s="114"/>
      <c r="B60" s="33" t="s">
        <v>131</v>
      </c>
      <c r="C60" s="9"/>
      <c r="D60" s="27">
        <v>52.1</v>
      </c>
      <c r="E60" s="20">
        <v>62</v>
      </c>
      <c r="F60" s="27">
        <v>52.1</v>
      </c>
      <c r="G60" s="19">
        <f t="shared" si="26"/>
        <v>-9.8999999999999986</v>
      </c>
      <c r="H60" s="19">
        <f t="shared" si="27"/>
        <v>84.032258064516128</v>
      </c>
    </row>
    <row r="61" spans="1:13" ht="24.75" customHeight="1">
      <c r="A61" s="114"/>
      <c r="B61" s="29" t="s">
        <v>135</v>
      </c>
      <c r="C61" s="9"/>
      <c r="D61" s="27">
        <v>92.5</v>
      </c>
      <c r="E61" s="20">
        <v>75</v>
      </c>
      <c r="F61" s="27">
        <v>132.19999999999999</v>
      </c>
      <c r="G61" s="19">
        <f t="shared" ref="G61:G66" si="29">F61-E61</f>
        <v>57.199999999999989</v>
      </c>
      <c r="H61" s="19">
        <f t="shared" ref="H61:H66" si="30">(F61/E61)*100</f>
        <v>176.26666666666665</v>
      </c>
    </row>
    <row r="62" spans="1:13" ht="101.25" customHeight="1">
      <c r="A62" s="263" t="s">
        <v>78</v>
      </c>
      <c r="B62" s="260" t="s">
        <v>289</v>
      </c>
      <c r="C62" s="9"/>
      <c r="D62" s="27"/>
      <c r="E62" s="264">
        <f>E64</f>
        <v>294.2</v>
      </c>
      <c r="F62" s="264">
        <f>F64</f>
        <v>282.2</v>
      </c>
      <c r="G62" s="19">
        <f t="shared" si="29"/>
        <v>-12</v>
      </c>
      <c r="H62" s="19">
        <f t="shared" si="30"/>
        <v>95.921142080217535</v>
      </c>
    </row>
    <row r="63" spans="1:13" ht="21" customHeight="1">
      <c r="A63" s="180"/>
      <c r="B63" s="138" t="s">
        <v>72</v>
      </c>
      <c r="C63" s="9"/>
      <c r="D63" s="27"/>
      <c r="E63" s="20"/>
      <c r="F63" s="27"/>
      <c r="G63" s="19"/>
      <c r="H63" s="19"/>
    </row>
    <row r="64" spans="1:13" ht="39" customHeight="1">
      <c r="A64" s="181" t="s">
        <v>159</v>
      </c>
      <c r="B64" s="21" t="s">
        <v>76</v>
      </c>
      <c r="C64" s="141">
        <v>1010</v>
      </c>
      <c r="D64" s="27"/>
      <c r="E64" s="182">
        <f t="shared" ref="E64:F64" si="31">E65+E66</f>
        <v>294.2</v>
      </c>
      <c r="F64" s="182">
        <f t="shared" si="31"/>
        <v>282.2</v>
      </c>
      <c r="G64" s="143">
        <f t="shared" si="29"/>
        <v>-12</v>
      </c>
      <c r="H64" s="249">
        <f t="shared" si="30"/>
        <v>95.921142080217535</v>
      </c>
    </row>
    <row r="65" spans="1:13" ht="24.75" customHeight="1">
      <c r="A65" s="183" t="s">
        <v>210</v>
      </c>
      <c r="B65" s="138" t="s">
        <v>1</v>
      </c>
      <c r="C65" s="154">
        <v>1012</v>
      </c>
      <c r="D65" s="152"/>
      <c r="E65" s="177">
        <v>241.2</v>
      </c>
      <c r="F65" s="152">
        <v>231.3</v>
      </c>
      <c r="G65" s="155">
        <f t="shared" si="29"/>
        <v>-9.8999999999999773</v>
      </c>
      <c r="H65" s="186">
        <f t="shared" si="30"/>
        <v>95.895522388059703</v>
      </c>
    </row>
    <row r="66" spans="1:13" ht="22.5" customHeight="1">
      <c r="A66" s="183" t="s">
        <v>169</v>
      </c>
      <c r="B66" s="138" t="s">
        <v>2</v>
      </c>
      <c r="C66" s="154">
        <v>1013</v>
      </c>
      <c r="D66" s="152"/>
      <c r="E66" s="177">
        <v>53</v>
      </c>
      <c r="F66" s="152">
        <v>50.9</v>
      </c>
      <c r="G66" s="155">
        <f t="shared" si="29"/>
        <v>-2.1000000000000014</v>
      </c>
      <c r="H66" s="186">
        <f t="shared" si="30"/>
        <v>96.037735849056602</v>
      </c>
    </row>
    <row r="67" spans="1:13" ht="64.5" customHeight="1">
      <c r="A67" s="114" t="s">
        <v>235</v>
      </c>
      <c r="B67" s="265" t="s">
        <v>189</v>
      </c>
      <c r="C67" s="9"/>
      <c r="D67" s="28">
        <f t="shared" ref="D67" si="32">SUM(D69)</f>
        <v>22.5</v>
      </c>
      <c r="E67" s="28">
        <f t="shared" ref="E67:F67" si="33">SUM(E69)</f>
        <v>98.100000000000009</v>
      </c>
      <c r="F67" s="28">
        <f t="shared" si="33"/>
        <v>76.099999999999994</v>
      </c>
      <c r="G67" s="75">
        <f t="shared" ref="G67:G71" si="34">F67-E67</f>
        <v>-22.000000000000014</v>
      </c>
      <c r="H67" s="75">
        <f t="shared" ref="H67:H71" si="35">(F67/E67)*100</f>
        <v>77.573904179408757</v>
      </c>
    </row>
    <row r="68" spans="1:13" ht="24" customHeight="1">
      <c r="A68" s="114"/>
      <c r="B68" s="138" t="s">
        <v>72</v>
      </c>
      <c r="C68" s="9"/>
      <c r="D68" s="28"/>
      <c r="E68" s="28"/>
      <c r="F68" s="28"/>
      <c r="G68" s="75"/>
      <c r="H68" s="75"/>
    </row>
    <row r="69" spans="1:13" ht="40.5" customHeight="1">
      <c r="A69" s="140" t="s">
        <v>236</v>
      </c>
      <c r="B69" s="21" t="s">
        <v>76</v>
      </c>
      <c r="C69" s="141">
        <v>1010</v>
      </c>
      <c r="D69" s="142">
        <f>SUM(D70,D72,D73)</f>
        <v>22.5</v>
      </c>
      <c r="E69" s="142">
        <f>SUM(E70,E72,E73)</f>
        <v>98.100000000000009</v>
      </c>
      <c r="F69" s="142">
        <f>SUM(F70,F72,F73)</f>
        <v>76.099999999999994</v>
      </c>
      <c r="G69" s="143">
        <f t="shared" si="34"/>
        <v>-22.000000000000014</v>
      </c>
      <c r="H69" s="143">
        <f t="shared" si="35"/>
        <v>77.573904179408757</v>
      </c>
    </row>
    <row r="70" spans="1:13" s="117" customFormat="1" ht="22.5" customHeight="1">
      <c r="A70" s="144" t="s">
        <v>237</v>
      </c>
      <c r="B70" s="138" t="s">
        <v>207</v>
      </c>
      <c r="C70" s="154">
        <v>1011</v>
      </c>
      <c r="D70" s="152">
        <f>D71</f>
        <v>0.1</v>
      </c>
      <c r="E70" s="152"/>
      <c r="F70" s="152"/>
      <c r="G70" s="155">
        <f t="shared" si="34"/>
        <v>0</v>
      </c>
      <c r="H70" s="185" t="e">
        <f t="shared" si="35"/>
        <v>#DIV/0!</v>
      </c>
      <c r="J70" s="134"/>
      <c r="K70" s="135"/>
      <c r="L70" s="135"/>
      <c r="M70" s="135"/>
    </row>
    <row r="71" spans="1:13" ht="21" customHeight="1">
      <c r="A71" s="145"/>
      <c r="B71" s="16" t="s">
        <v>125</v>
      </c>
      <c r="C71" s="9"/>
      <c r="D71" s="27">
        <v>0.1</v>
      </c>
      <c r="E71" s="27"/>
      <c r="F71" s="27"/>
      <c r="G71" s="19">
        <f t="shared" si="34"/>
        <v>0</v>
      </c>
      <c r="H71" s="184" t="e">
        <f t="shared" si="35"/>
        <v>#DIV/0!</v>
      </c>
    </row>
    <row r="72" spans="1:13" ht="24.75" customHeight="1">
      <c r="A72" s="144" t="s">
        <v>299</v>
      </c>
      <c r="B72" s="162" t="s">
        <v>1</v>
      </c>
      <c r="C72" s="154">
        <v>1012</v>
      </c>
      <c r="D72" s="152">
        <v>18.399999999999999</v>
      </c>
      <c r="E72" s="177">
        <v>80.400000000000006</v>
      </c>
      <c r="F72" s="152">
        <v>62.4</v>
      </c>
      <c r="G72" s="155">
        <f>F72-E72</f>
        <v>-18.000000000000007</v>
      </c>
      <c r="H72" s="155">
        <f>(F72/E72)*100</f>
        <v>77.611940298507449</v>
      </c>
    </row>
    <row r="73" spans="1:13" ht="24.75" customHeight="1">
      <c r="A73" s="144" t="s">
        <v>300</v>
      </c>
      <c r="B73" s="162" t="s">
        <v>2</v>
      </c>
      <c r="C73" s="154">
        <v>1013</v>
      </c>
      <c r="D73" s="152">
        <v>4</v>
      </c>
      <c r="E73" s="177">
        <v>17.7</v>
      </c>
      <c r="F73" s="152">
        <v>13.7</v>
      </c>
      <c r="G73" s="155">
        <f>F73-E73</f>
        <v>-4</v>
      </c>
      <c r="H73" s="155">
        <f>(F73/E73)*100</f>
        <v>77.401129943502823</v>
      </c>
    </row>
    <row r="74" spans="1:13" ht="60.75" customHeight="1">
      <c r="A74" s="114" t="s">
        <v>86</v>
      </c>
      <c r="B74" s="260" t="s">
        <v>177</v>
      </c>
      <c r="C74" s="13"/>
      <c r="D74" s="28">
        <f>D76</f>
        <v>25</v>
      </c>
      <c r="E74" s="59">
        <f>E76</f>
        <v>0</v>
      </c>
      <c r="F74" s="59">
        <f>F76</f>
        <v>0.4</v>
      </c>
      <c r="G74" s="75">
        <f t="shared" ref="G74" si="36">F74-E74</f>
        <v>0.4</v>
      </c>
      <c r="H74" s="19"/>
    </row>
    <row r="75" spans="1:13" ht="25.5" customHeight="1">
      <c r="A75" s="114"/>
      <c r="B75" s="138" t="s">
        <v>72</v>
      </c>
      <c r="C75" s="13"/>
      <c r="D75" s="28"/>
      <c r="E75" s="59"/>
      <c r="F75" s="59"/>
      <c r="G75" s="75"/>
      <c r="H75" s="19"/>
    </row>
    <row r="76" spans="1:13" ht="39.75" customHeight="1">
      <c r="A76" s="140" t="s">
        <v>170</v>
      </c>
      <c r="B76" s="160" t="s">
        <v>153</v>
      </c>
      <c r="C76" s="141">
        <v>1010</v>
      </c>
      <c r="D76" s="142">
        <f t="shared" ref="D76:F76" si="37">D77</f>
        <v>25</v>
      </c>
      <c r="E76" s="165">
        <f t="shared" si="37"/>
        <v>0</v>
      </c>
      <c r="F76" s="165">
        <f t="shared" si="37"/>
        <v>0.4</v>
      </c>
      <c r="G76" s="143">
        <f>F76-E76</f>
        <v>0.4</v>
      </c>
      <c r="H76" s="188" t="e">
        <f>(F76/E76)*100</f>
        <v>#DIV/0!</v>
      </c>
    </row>
    <row r="77" spans="1:13" s="117" customFormat="1" ht="23.25" customHeight="1">
      <c r="A77" s="144" t="s">
        <v>171</v>
      </c>
      <c r="B77" s="138" t="s">
        <v>89</v>
      </c>
      <c r="C77" s="154">
        <v>1011</v>
      </c>
      <c r="D77" s="152">
        <f>D78+D79</f>
        <v>25</v>
      </c>
      <c r="E77" s="166">
        <f>SUM(E79:E79)</f>
        <v>0</v>
      </c>
      <c r="F77" s="166">
        <f>SUM(F79:F79)</f>
        <v>0.4</v>
      </c>
      <c r="G77" s="155">
        <f t="shared" ref="G77:G79" si="38">F77-E77</f>
        <v>0.4</v>
      </c>
      <c r="H77" s="185" t="e">
        <f t="shared" ref="H77:H79" si="39">(F77/E77)*100</f>
        <v>#DIV/0!</v>
      </c>
      <c r="J77" s="134"/>
      <c r="K77" s="135"/>
      <c r="L77" s="135"/>
      <c r="M77" s="135"/>
    </row>
    <row r="78" spans="1:13" s="117" customFormat="1" ht="36" customHeight="1">
      <c r="A78" s="114"/>
      <c r="B78" s="16" t="s">
        <v>241</v>
      </c>
      <c r="C78" s="13"/>
      <c r="D78" s="27">
        <v>0.6</v>
      </c>
      <c r="E78" s="59"/>
      <c r="F78" s="27"/>
      <c r="G78" s="75">
        <f t="shared" si="38"/>
        <v>0</v>
      </c>
      <c r="H78" s="184" t="e">
        <f t="shared" si="39"/>
        <v>#DIV/0!</v>
      </c>
      <c r="J78" s="134"/>
      <c r="K78" s="135"/>
      <c r="L78" s="135"/>
      <c r="M78" s="135"/>
    </row>
    <row r="79" spans="1:13" ht="24" customHeight="1">
      <c r="A79" s="145"/>
      <c r="B79" s="29" t="s">
        <v>111</v>
      </c>
      <c r="C79" s="9"/>
      <c r="D79" s="27">
        <v>24.4</v>
      </c>
      <c r="E79" s="166"/>
      <c r="F79" s="27">
        <v>0.4</v>
      </c>
      <c r="G79" s="19">
        <f t="shared" si="38"/>
        <v>0.4</v>
      </c>
      <c r="H79" s="184" t="e">
        <f t="shared" si="39"/>
        <v>#DIV/0!</v>
      </c>
    </row>
    <row r="80" spans="1:13" ht="45.75" customHeight="1">
      <c r="A80" s="13" t="s">
        <v>87</v>
      </c>
      <c r="B80" s="266" t="s">
        <v>297</v>
      </c>
      <c r="C80" s="13"/>
      <c r="D80" s="28">
        <f>SUM(D82,D90)</f>
        <v>4803.2999999999993</v>
      </c>
      <c r="E80" s="28">
        <f>SUM(E82,E90)</f>
        <v>4596.3000000000011</v>
      </c>
      <c r="F80" s="28">
        <f>SUM(F82,F90)</f>
        <v>4594.8999999999996</v>
      </c>
      <c r="G80" s="75">
        <f t="shared" ref="G80:G107" si="40">F80-E80</f>
        <v>-1.4000000000014552</v>
      </c>
      <c r="H80" s="75">
        <f t="shared" ref="H80:H102" si="41">(F80/E80)*100</f>
        <v>99.969540717533633</v>
      </c>
      <c r="K80" s="190"/>
    </row>
    <row r="81" spans="1:13" ht="26.25" customHeight="1">
      <c r="A81" s="9"/>
      <c r="B81" s="167" t="s">
        <v>72</v>
      </c>
      <c r="C81" s="9"/>
      <c r="D81" s="27"/>
      <c r="E81" s="27"/>
      <c r="F81" s="27"/>
      <c r="G81" s="19">
        <f t="shared" si="40"/>
        <v>0</v>
      </c>
      <c r="H81" s="19"/>
    </row>
    <row r="82" spans="1:13" ht="39" customHeight="1">
      <c r="A82" s="140" t="s">
        <v>90</v>
      </c>
      <c r="B82" s="21" t="s">
        <v>76</v>
      </c>
      <c r="C82" s="141">
        <v>1010</v>
      </c>
      <c r="D82" s="142">
        <f>SUM(D83,)</f>
        <v>4724.0999999999995</v>
      </c>
      <c r="E82" s="142">
        <f t="shared" ref="E82:F82" si="42">SUM(E83,)</f>
        <v>4528.3000000000011</v>
      </c>
      <c r="F82" s="142">
        <f t="shared" si="42"/>
        <v>4542.5</v>
      </c>
      <c r="G82" s="143">
        <f t="shared" si="40"/>
        <v>14.199999999998909</v>
      </c>
      <c r="H82" s="143">
        <f t="shared" si="41"/>
        <v>100.31358346399308</v>
      </c>
    </row>
    <row r="83" spans="1:13" s="117" customFormat="1" ht="25.5" customHeight="1">
      <c r="A83" s="144" t="s">
        <v>178</v>
      </c>
      <c r="B83" s="138" t="s">
        <v>89</v>
      </c>
      <c r="C83" s="154">
        <v>1011</v>
      </c>
      <c r="D83" s="152">
        <f>SUM(D84:D89)</f>
        <v>4724.0999999999995</v>
      </c>
      <c r="E83" s="152">
        <f>SUM(E84:E89)</f>
        <v>4528.3000000000011</v>
      </c>
      <c r="F83" s="152">
        <f>SUM(F84:F89)</f>
        <v>4542.5</v>
      </c>
      <c r="G83" s="155">
        <f t="shared" si="40"/>
        <v>14.199999999998909</v>
      </c>
      <c r="H83" s="155">
        <f t="shared" si="41"/>
        <v>100.31358346399308</v>
      </c>
      <c r="J83" s="134"/>
      <c r="K83" s="135"/>
      <c r="L83" s="135"/>
      <c r="M83" s="135"/>
    </row>
    <row r="84" spans="1:13" ht="23.25" customHeight="1">
      <c r="A84" s="145"/>
      <c r="B84" s="16" t="s">
        <v>111</v>
      </c>
      <c r="C84" s="9"/>
      <c r="D84" s="27">
        <f>723+9.7</f>
        <v>732.7</v>
      </c>
      <c r="E84" s="20">
        <v>460</v>
      </c>
      <c r="F84" s="27">
        <f>3654.9-3194.9</f>
        <v>460</v>
      </c>
      <c r="G84" s="19">
        <f t="shared" si="40"/>
        <v>0</v>
      </c>
      <c r="H84" s="19">
        <f t="shared" si="41"/>
        <v>100</v>
      </c>
    </row>
    <row r="85" spans="1:13" ht="21" customHeight="1">
      <c r="A85" s="145"/>
      <c r="B85" s="29" t="s">
        <v>134</v>
      </c>
      <c r="C85" s="9"/>
      <c r="D85" s="27">
        <v>95.9</v>
      </c>
      <c r="E85" s="20">
        <v>104.6</v>
      </c>
      <c r="F85" s="27">
        <v>104.6</v>
      </c>
      <c r="G85" s="19">
        <f t="shared" si="40"/>
        <v>0</v>
      </c>
      <c r="H85" s="19">
        <f t="shared" si="41"/>
        <v>100</v>
      </c>
    </row>
    <row r="86" spans="1:13" ht="20.25" customHeight="1">
      <c r="A86" s="145"/>
      <c r="B86" s="29" t="s">
        <v>125</v>
      </c>
      <c r="C86" s="9"/>
      <c r="D86" s="27">
        <v>2822.2</v>
      </c>
      <c r="E86" s="20">
        <v>2523.3000000000002</v>
      </c>
      <c r="F86" s="27">
        <v>2536.1999999999998</v>
      </c>
      <c r="G86" s="19">
        <f t="shared" si="40"/>
        <v>12.899999999999636</v>
      </c>
      <c r="H86" s="19">
        <f t="shared" si="41"/>
        <v>100.51123528712398</v>
      </c>
      <c r="I86" s="153"/>
    </row>
    <row r="87" spans="1:13" ht="20.25" customHeight="1">
      <c r="A87" s="145"/>
      <c r="B87" s="29" t="s">
        <v>126</v>
      </c>
      <c r="C87" s="9"/>
      <c r="D87" s="27">
        <v>100.2</v>
      </c>
      <c r="E87" s="20">
        <v>129.9</v>
      </c>
      <c r="F87" s="27">
        <v>129.69999999999999</v>
      </c>
      <c r="G87" s="19">
        <f t="shared" si="40"/>
        <v>-0.20000000000001705</v>
      </c>
      <c r="H87" s="19">
        <f t="shared" si="41"/>
        <v>99.846035411855254</v>
      </c>
      <c r="I87" s="153"/>
    </row>
    <row r="88" spans="1:13" ht="20.25" customHeight="1">
      <c r="A88" s="145"/>
      <c r="B88" s="29" t="s">
        <v>127</v>
      </c>
      <c r="C88" s="9"/>
      <c r="D88" s="27">
        <v>935.1</v>
      </c>
      <c r="E88" s="20">
        <v>1237.9000000000001</v>
      </c>
      <c r="F88" s="27">
        <v>1239.7</v>
      </c>
      <c r="G88" s="19">
        <f t="shared" si="40"/>
        <v>1.7999999999999545</v>
      </c>
      <c r="H88" s="19">
        <f t="shared" si="41"/>
        <v>100.14540754503594</v>
      </c>
      <c r="I88" s="153"/>
    </row>
    <row r="89" spans="1:13" ht="22.5" customHeight="1">
      <c r="A89" s="145"/>
      <c r="B89" s="29" t="s">
        <v>128</v>
      </c>
      <c r="C89" s="9"/>
      <c r="D89" s="27">
        <v>38</v>
      </c>
      <c r="E89" s="20">
        <v>72.599999999999994</v>
      </c>
      <c r="F89" s="27">
        <v>72.3</v>
      </c>
      <c r="G89" s="19">
        <f t="shared" si="40"/>
        <v>-0.29999999999999716</v>
      </c>
      <c r="H89" s="19">
        <f t="shared" si="41"/>
        <v>99.586776859504127</v>
      </c>
      <c r="I89" s="153"/>
    </row>
    <row r="90" spans="1:13" ht="20.100000000000001" customHeight="1">
      <c r="A90" s="140" t="s">
        <v>255</v>
      </c>
      <c r="B90" s="160" t="s">
        <v>77</v>
      </c>
      <c r="C90" s="141">
        <v>1020</v>
      </c>
      <c r="D90" s="142">
        <f t="shared" ref="D90:F90" si="43">SUM(D91)</f>
        <v>79.2</v>
      </c>
      <c r="E90" s="142">
        <f t="shared" si="43"/>
        <v>68</v>
      </c>
      <c r="F90" s="142">
        <f t="shared" si="43"/>
        <v>52.4</v>
      </c>
      <c r="G90" s="143">
        <f t="shared" si="40"/>
        <v>-15.600000000000001</v>
      </c>
      <c r="H90" s="143">
        <f t="shared" si="41"/>
        <v>77.058823529411754</v>
      </c>
    </row>
    <row r="91" spans="1:13" s="117" customFormat="1" ht="21" customHeight="1">
      <c r="A91" s="144" t="s">
        <v>256</v>
      </c>
      <c r="B91" s="162" t="s">
        <v>152</v>
      </c>
      <c r="C91" s="154">
        <v>1025</v>
      </c>
      <c r="D91" s="168">
        <f t="shared" ref="D91:F91" si="44">SUM(D92:D95)</f>
        <v>79.2</v>
      </c>
      <c r="E91" s="168">
        <f>E92+E93+E94+E95</f>
        <v>68</v>
      </c>
      <c r="F91" s="168">
        <f t="shared" si="44"/>
        <v>52.4</v>
      </c>
      <c r="G91" s="155">
        <f t="shared" si="40"/>
        <v>-15.600000000000001</v>
      </c>
      <c r="H91" s="155">
        <f t="shared" si="41"/>
        <v>77.058823529411754</v>
      </c>
      <c r="J91" s="134"/>
      <c r="K91" s="135"/>
      <c r="L91" s="135"/>
      <c r="M91" s="135"/>
    </row>
    <row r="92" spans="1:13" ht="21" customHeight="1">
      <c r="A92" s="145"/>
      <c r="B92" s="29" t="s">
        <v>125</v>
      </c>
      <c r="C92" s="9"/>
      <c r="D92" s="27">
        <v>64.2</v>
      </c>
      <c r="E92" s="20">
        <v>55</v>
      </c>
      <c r="F92" s="27">
        <v>41.2</v>
      </c>
      <c r="G92" s="19">
        <f t="shared" si="40"/>
        <v>-13.799999999999997</v>
      </c>
      <c r="H92" s="19">
        <f t="shared" si="41"/>
        <v>74.909090909090921</v>
      </c>
    </row>
    <row r="93" spans="1:13" ht="21" customHeight="1">
      <c r="A93" s="145"/>
      <c r="B93" s="29" t="s">
        <v>126</v>
      </c>
      <c r="C93" s="9"/>
      <c r="D93" s="27">
        <v>1.2</v>
      </c>
      <c r="E93" s="20">
        <v>1.1000000000000001</v>
      </c>
      <c r="F93" s="27">
        <v>1.3</v>
      </c>
      <c r="G93" s="19">
        <f t="shared" si="40"/>
        <v>0.19999999999999996</v>
      </c>
      <c r="H93" s="19">
        <f t="shared" si="41"/>
        <v>118.18181818181816</v>
      </c>
    </row>
    <row r="94" spans="1:13" ht="20.25" customHeight="1">
      <c r="A94" s="145"/>
      <c r="B94" s="29" t="s">
        <v>127</v>
      </c>
      <c r="C94" s="9"/>
      <c r="D94" s="27">
        <v>13.2</v>
      </c>
      <c r="E94" s="20">
        <v>11.3</v>
      </c>
      <c r="F94" s="27">
        <v>9</v>
      </c>
      <c r="G94" s="19">
        <f t="shared" si="40"/>
        <v>-2.3000000000000007</v>
      </c>
      <c r="H94" s="19">
        <f t="shared" si="41"/>
        <v>79.646017699115035</v>
      </c>
    </row>
    <row r="95" spans="1:13" ht="21" customHeight="1">
      <c r="A95" s="145"/>
      <c r="B95" s="29" t="s">
        <v>128</v>
      </c>
      <c r="C95" s="9"/>
      <c r="D95" s="27">
        <v>0.6</v>
      </c>
      <c r="E95" s="20">
        <v>0.6</v>
      </c>
      <c r="F95" s="27">
        <v>0.9</v>
      </c>
      <c r="G95" s="19">
        <f t="shared" si="40"/>
        <v>0.30000000000000004</v>
      </c>
      <c r="H95" s="19">
        <f t="shared" si="41"/>
        <v>150</v>
      </c>
    </row>
    <row r="96" spans="1:13" ht="58.5" customHeight="1">
      <c r="A96" s="114" t="s">
        <v>108</v>
      </c>
      <c r="B96" s="260" t="s">
        <v>296</v>
      </c>
      <c r="C96" s="13"/>
      <c r="D96" s="28">
        <f>D98</f>
        <v>0</v>
      </c>
      <c r="E96" s="264">
        <f t="shared" ref="E96:F96" si="45">E98</f>
        <v>0</v>
      </c>
      <c r="F96" s="28">
        <f t="shared" si="45"/>
        <v>2991.7000000000003</v>
      </c>
      <c r="G96" s="75">
        <f t="shared" ref="G96:G99" si="46">F96-E96</f>
        <v>2991.7000000000003</v>
      </c>
      <c r="H96" s="187" t="e">
        <f t="shared" ref="H96" si="47">(F96/E96)*100</f>
        <v>#DIV/0!</v>
      </c>
    </row>
    <row r="97" spans="1:13" ht="26.25" customHeight="1">
      <c r="A97" s="145"/>
      <c r="B97" s="162" t="s">
        <v>72</v>
      </c>
      <c r="C97" s="9"/>
      <c r="D97" s="27"/>
      <c r="E97" s="20"/>
      <c r="F97" s="27"/>
      <c r="G97" s="19">
        <f t="shared" si="46"/>
        <v>0</v>
      </c>
      <c r="H97" s="19"/>
    </row>
    <row r="98" spans="1:13" ht="45.75" customHeight="1">
      <c r="A98" s="140" t="s">
        <v>88</v>
      </c>
      <c r="B98" s="160" t="s">
        <v>76</v>
      </c>
      <c r="C98" s="141">
        <v>1010</v>
      </c>
      <c r="D98" s="142">
        <f>D99</f>
        <v>0</v>
      </c>
      <c r="E98" s="182">
        <f t="shared" ref="E98:F98" si="48">E99</f>
        <v>0</v>
      </c>
      <c r="F98" s="142">
        <f t="shared" si="48"/>
        <v>2991.7000000000003</v>
      </c>
      <c r="G98" s="143">
        <f t="shared" si="46"/>
        <v>2991.7000000000003</v>
      </c>
      <c r="H98" s="188" t="e">
        <f t="shared" ref="H98:H99" si="49">(F98/E98)*100</f>
        <v>#DIV/0!</v>
      </c>
    </row>
    <row r="99" spans="1:13" ht="25.5" customHeight="1">
      <c r="A99" s="144" t="s">
        <v>179</v>
      </c>
      <c r="B99" s="162" t="s">
        <v>89</v>
      </c>
      <c r="C99" s="154">
        <v>1011</v>
      </c>
      <c r="D99" s="152">
        <f>SUM(D100:D101)</f>
        <v>0</v>
      </c>
      <c r="E99" s="177">
        <f>SUM(E100:E101)</f>
        <v>0</v>
      </c>
      <c r="F99" s="152">
        <f>SUM(F100:F101)</f>
        <v>2991.7000000000003</v>
      </c>
      <c r="G99" s="155">
        <f t="shared" si="46"/>
        <v>2991.7000000000003</v>
      </c>
      <c r="H99" s="185" t="e">
        <f t="shared" si="49"/>
        <v>#DIV/0!</v>
      </c>
    </row>
    <row r="100" spans="1:13" ht="22.5" customHeight="1">
      <c r="A100" s="145"/>
      <c r="B100" s="29" t="s">
        <v>111</v>
      </c>
      <c r="C100" s="9"/>
      <c r="D100" s="27"/>
      <c r="E100" s="20"/>
      <c r="F100" s="27">
        <f>3194.9-291.5</f>
        <v>2903.4</v>
      </c>
      <c r="G100" s="19">
        <f t="shared" ref="G100:G101" si="50">F100-E100</f>
        <v>2903.4</v>
      </c>
      <c r="H100" s="184" t="e">
        <f t="shared" ref="H100:H101" si="51">(F100/E100)*100</f>
        <v>#DIV/0!</v>
      </c>
    </row>
    <row r="101" spans="1:13" ht="23.25" customHeight="1">
      <c r="A101" s="145"/>
      <c r="B101" s="29" t="s">
        <v>234</v>
      </c>
      <c r="C101" s="9"/>
      <c r="D101" s="27"/>
      <c r="E101" s="20"/>
      <c r="F101" s="27">
        <v>88.3</v>
      </c>
      <c r="G101" s="19">
        <f t="shared" si="50"/>
        <v>88.3</v>
      </c>
      <c r="H101" s="184" t="e">
        <f t="shared" si="51"/>
        <v>#DIV/0!</v>
      </c>
    </row>
    <row r="102" spans="1:13" ht="24.75" customHeight="1">
      <c r="A102" s="114" t="s">
        <v>109</v>
      </c>
      <c r="B102" s="265" t="s">
        <v>172</v>
      </c>
      <c r="C102" s="13"/>
      <c r="D102" s="28">
        <f>SUM(D104,D110)</f>
        <v>48.199999999999996</v>
      </c>
      <c r="E102" s="28">
        <f>SUM(E104,E110)</f>
        <v>51.699999999999996</v>
      </c>
      <c r="F102" s="28">
        <f>SUM(F104,F110)</f>
        <v>68.2</v>
      </c>
      <c r="G102" s="75">
        <f t="shared" si="40"/>
        <v>16.500000000000007</v>
      </c>
      <c r="H102" s="75">
        <f t="shared" si="41"/>
        <v>131.91489361702128</v>
      </c>
      <c r="K102" s="190"/>
    </row>
    <row r="103" spans="1:13" ht="27.75" customHeight="1">
      <c r="A103" s="145"/>
      <c r="B103" s="138" t="s">
        <v>72</v>
      </c>
      <c r="C103" s="13"/>
      <c r="D103" s="28"/>
      <c r="E103" s="28"/>
      <c r="F103" s="28"/>
      <c r="G103" s="19">
        <f t="shared" si="40"/>
        <v>0</v>
      </c>
      <c r="H103" s="19"/>
    </row>
    <row r="104" spans="1:13" ht="39.75" customHeight="1">
      <c r="A104" s="140" t="s">
        <v>180</v>
      </c>
      <c r="B104" s="21" t="s">
        <v>76</v>
      </c>
      <c r="C104" s="141">
        <v>1010</v>
      </c>
      <c r="D104" s="142">
        <f>D105</f>
        <v>47.999999999999993</v>
      </c>
      <c r="E104" s="142">
        <f>E105</f>
        <v>51.4</v>
      </c>
      <c r="F104" s="142">
        <f>F105</f>
        <v>67.900000000000006</v>
      </c>
      <c r="G104" s="143">
        <f t="shared" si="40"/>
        <v>16.500000000000007</v>
      </c>
      <c r="H104" s="143">
        <f>F104/E104*100</f>
        <v>132.1011673151751</v>
      </c>
    </row>
    <row r="105" spans="1:13" s="117" customFormat="1" ht="22.5" customHeight="1">
      <c r="A105" s="144" t="s">
        <v>181</v>
      </c>
      <c r="B105" s="138" t="s">
        <v>89</v>
      </c>
      <c r="C105" s="154">
        <v>1011</v>
      </c>
      <c r="D105" s="152">
        <f>SUM(D106:D109)</f>
        <v>47.999999999999993</v>
      </c>
      <c r="E105" s="152">
        <f>E106+E107+E108+E109</f>
        <v>51.4</v>
      </c>
      <c r="F105" s="152">
        <f>SUM(F106:F109)</f>
        <v>67.900000000000006</v>
      </c>
      <c r="G105" s="155">
        <f t="shared" si="40"/>
        <v>16.500000000000007</v>
      </c>
      <c r="H105" s="155">
        <f t="shared" ref="H105:H109" si="52">F105/E105*100</f>
        <v>132.1011673151751</v>
      </c>
      <c r="J105" s="134"/>
      <c r="K105" s="135"/>
      <c r="L105" s="135"/>
      <c r="M105" s="135"/>
    </row>
    <row r="106" spans="1:13" ht="18.75" customHeight="1">
      <c r="A106" s="145"/>
      <c r="B106" s="16" t="s">
        <v>125</v>
      </c>
      <c r="C106" s="9"/>
      <c r="D106" s="27">
        <v>5.4</v>
      </c>
      <c r="E106" s="20">
        <v>2.6</v>
      </c>
      <c r="F106" s="27">
        <v>4.5</v>
      </c>
      <c r="G106" s="19">
        <f t="shared" si="40"/>
        <v>1.9</v>
      </c>
      <c r="H106" s="19">
        <f t="shared" si="52"/>
        <v>173.07692307692307</v>
      </c>
    </row>
    <row r="107" spans="1:13" ht="23.25" customHeight="1">
      <c r="A107" s="145"/>
      <c r="B107" s="16" t="s">
        <v>126</v>
      </c>
      <c r="C107" s="9"/>
      <c r="D107" s="27">
        <v>0.9</v>
      </c>
      <c r="E107" s="20">
        <v>0.7</v>
      </c>
      <c r="F107" s="27">
        <v>0.6</v>
      </c>
      <c r="G107" s="19">
        <f t="shared" si="40"/>
        <v>-9.9999999999999978E-2</v>
      </c>
      <c r="H107" s="19">
        <f t="shared" si="52"/>
        <v>85.714285714285722</v>
      </c>
    </row>
    <row r="108" spans="1:13" ht="22.5" customHeight="1">
      <c r="A108" s="145"/>
      <c r="B108" s="16" t="s">
        <v>127</v>
      </c>
      <c r="C108" s="9"/>
      <c r="D108" s="27">
        <f>51.3-9.7</f>
        <v>41.599999999999994</v>
      </c>
      <c r="E108" s="20">
        <v>48</v>
      </c>
      <c r="F108" s="27">
        <v>62.6</v>
      </c>
      <c r="G108" s="19">
        <f t="shared" ref="G108:G112" si="53">F108-E108</f>
        <v>14.600000000000001</v>
      </c>
      <c r="H108" s="19">
        <f t="shared" si="52"/>
        <v>130.41666666666666</v>
      </c>
    </row>
    <row r="109" spans="1:13" ht="21" customHeight="1">
      <c r="A109" s="145"/>
      <c r="B109" s="16" t="s">
        <v>128</v>
      </c>
      <c r="C109" s="9"/>
      <c r="D109" s="27">
        <v>0.1</v>
      </c>
      <c r="E109" s="20">
        <v>0.1</v>
      </c>
      <c r="F109" s="27">
        <v>0.2</v>
      </c>
      <c r="G109" s="19">
        <f t="shared" si="53"/>
        <v>0.1</v>
      </c>
      <c r="H109" s="19">
        <f t="shared" si="52"/>
        <v>200</v>
      </c>
    </row>
    <row r="110" spans="1:13" ht="24" customHeight="1">
      <c r="A110" s="140" t="s">
        <v>182</v>
      </c>
      <c r="B110" s="21" t="s">
        <v>77</v>
      </c>
      <c r="C110" s="141">
        <v>1020</v>
      </c>
      <c r="D110" s="142">
        <f t="shared" ref="D110:F110" si="54">SUM(D111)</f>
        <v>0.2</v>
      </c>
      <c r="E110" s="142">
        <f t="shared" si="54"/>
        <v>0.3</v>
      </c>
      <c r="F110" s="142">
        <f t="shared" si="54"/>
        <v>0.3</v>
      </c>
      <c r="G110" s="143">
        <f t="shared" si="53"/>
        <v>0</v>
      </c>
      <c r="H110" s="143">
        <f t="shared" ref="H110:H112" si="55">(F110/E110)*100</f>
        <v>100</v>
      </c>
    </row>
    <row r="111" spans="1:13" s="117" customFormat="1" ht="24" customHeight="1">
      <c r="A111" s="144" t="s">
        <v>238</v>
      </c>
      <c r="B111" s="162" t="s">
        <v>148</v>
      </c>
      <c r="C111" s="154">
        <v>1025</v>
      </c>
      <c r="D111" s="152">
        <f t="shared" ref="D111" si="56">SUM(D112)</f>
        <v>0.2</v>
      </c>
      <c r="E111" s="152">
        <v>0.3</v>
      </c>
      <c r="F111" s="152">
        <v>0.3</v>
      </c>
      <c r="G111" s="155">
        <f t="shared" si="53"/>
        <v>0</v>
      </c>
      <c r="H111" s="155">
        <f t="shared" si="55"/>
        <v>100</v>
      </c>
      <c r="J111" s="134"/>
      <c r="K111" s="135"/>
      <c r="L111" s="135"/>
      <c r="M111" s="135"/>
    </row>
    <row r="112" spans="1:13" ht="20.25" customHeight="1">
      <c r="A112" s="145"/>
      <c r="B112" s="16" t="s">
        <v>38</v>
      </c>
      <c r="C112" s="9"/>
      <c r="D112" s="27">
        <v>0.2</v>
      </c>
      <c r="E112" s="20">
        <v>0.3</v>
      </c>
      <c r="F112" s="27">
        <v>0.3</v>
      </c>
      <c r="G112" s="19">
        <f t="shared" si="53"/>
        <v>0</v>
      </c>
      <c r="H112" s="19">
        <f t="shared" si="55"/>
        <v>100</v>
      </c>
    </row>
    <row r="113" spans="1:13" ht="20.25" customHeight="1">
      <c r="A113" s="114" t="s">
        <v>298</v>
      </c>
      <c r="B113" s="265" t="s">
        <v>136</v>
      </c>
      <c r="C113" s="13"/>
      <c r="D113" s="28">
        <f t="shared" ref="D113" si="57">SUM(D115,)</f>
        <v>0</v>
      </c>
      <c r="E113" s="28">
        <f t="shared" ref="E113:F113" si="58">SUM(E115,)</f>
        <v>5</v>
      </c>
      <c r="F113" s="28">
        <f t="shared" si="58"/>
        <v>0</v>
      </c>
      <c r="G113" s="75">
        <f t="shared" ref="G113:G169" si="59">F113-E113</f>
        <v>-5</v>
      </c>
      <c r="H113" s="75">
        <f t="shared" ref="H113:H169" si="60">(F113/E113)*100</f>
        <v>0</v>
      </c>
    </row>
    <row r="114" spans="1:13" ht="25.5" customHeight="1">
      <c r="A114" s="114"/>
      <c r="B114" s="138" t="s">
        <v>72</v>
      </c>
      <c r="C114" s="13"/>
      <c r="D114" s="28"/>
      <c r="E114" s="28"/>
      <c r="F114" s="28"/>
      <c r="G114" s="75"/>
      <c r="H114" s="75"/>
    </row>
    <row r="115" spans="1:13" ht="25.5" customHeight="1">
      <c r="A115" s="140" t="s">
        <v>183</v>
      </c>
      <c r="B115" s="21" t="s">
        <v>77</v>
      </c>
      <c r="C115" s="141">
        <v>1020</v>
      </c>
      <c r="D115" s="142">
        <f>D117</f>
        <v>0</v>
      </c>
      <c r="E115" s="142">
        <f>SUM(E116)</f>
        <v>5</v>
      </c>
      <c r="F115" s="142">
        <f>F117</f>
        <v>0</v>
      </c>
      <c r="G115" s="143">
        <f t="shared" si="59"/>
        <v>-5</v>
      </c>
      <c r="H115" s="155">
        <f t="shared" si="60"/>
        <v>0</v>
      </c>
    </row>
    <row r="116" spans="1:13" s="117" customFormat="1" ht="26.25" customHeight="1">
      <c r="A116" s="144" t="s">
        <v>184</v>
      </c>
      <c r="B116" s="138" t="s">
        <v>89</v>
      </c>
      <c r="C116" s="154">
        <v>1021</v>
      </c>
      <c r="D116" s="152">
        <f>D117</f>
        <v>0</v>
      </c>
      <c r="E116" s="152">
        <f>SUM(E117)</f>
        <v>5</v>
      </c>
      <c r="F116" s="152">
        <f>F117</f>
        <v>0</v>
      </c>
      <c r="G116" s="155">
        <f t="shared" si="59"/>
        <v>-5</v>
      </c>
      <c r="H116" s="155">
        <f t="shared" si="60"/>
        <v>0</v>
      </c>
      <c r="J116" s="134"/>
      <c r="K116" s="135"/>
      <c r="L116" s="135"/>
      <c r="M116" s="135"/>
    </row>
    <row r="117" spans="1:13" ht="24.75" customHeight="1">
      <c r="A117" s="114"/>
      <c r="B117" s="16" t="s">
        <v>143</v>
      </c>
      <c r="C117" s="13"/>
      <c r="D117" s="27"/>
      <c r="E117" s="27">
        <v>5</v>
      </c>
      <c r="F117" s="27"/>
      <c r="G117" s="19">
        <f t="shared" si="59"/>
        <v>-5</v>
      </c>
      <c r="H117" s="19">
        <f t="shared" si="60"/>
        <v>0</v>
      </c>
    </row>
    <row r="118" spans="1:13" ht="22.5" customHeight="1">
      <c r="A118" s="114" t="s">
        <v>137</v>
      </c>
      <c r="B118" s="265" t="s">
        <v>258</v>
      </c>
      <c r="C118" s="13"/>
      <c r="D118" s="28">
        <f>SUM(D120,)</f>
        <v>1473.8</v>
      </c>
      <c r="E118" s="28">
        <f t="shared" ref="E118:F118" si="61">SUM(E120,)</f>
        <v>0</v>
      </c>
      <c r="F118" s="28">
        <f t="shared" si="61"/>
        <v>3178.2000000000003</v>
      </c>
      <c r="G118" s="75">
        <f t="shared" si="59"/>
        <v>3178.2000000000003</v>
      </c>
      <c r="H118" s="184" t="e">
        <f t="shared" si="60"/>
        <v>#DIV/0!</v>
      </c>
    </row>
    <row r="119" spans="1:13" ht="21" customHeight="1">
      <c r="A119" s="114"/>
      <c r="B119" s="138" t="s">
        <v>72</v>
      </c>
      <c r="C119" s="9"/>
      <c r="D119" s="27"/>
      <c r="E119" s="27"/>
      <c r="F119" s="27"/>
      <c r="G119" s="19"/>
      <c r="H119" s="19"/>
    </row>
    <row r="120" spans="1:13" ht="38.25" customHeight="1">
      <c r="A120" s="140" t="s">
        <v>173</v>
      </c>
      <c r="B120" s="21" t="s">
        <v>76</v>
      </c>
      <c r="C120" s="141">
        <v>1010</v>
      </c>
      <c r="D120" s="142">
        <f>SUM(D121)</f>
        <v>1473.8</v>
      </c>
      <c r="E120" s="142">
        <f t="shared" ref="E120:F120" si="62">SUM(E121)</f>
        <v>0</v>
      </c>
      <c r="F120" s="142">
        <f t="shared" si="62"/>
        <v>3178.2000000000003</v>
      </c>
      <c r="G120" s="143">
        <f t="shared" si="59"/>
        <v>3178.2000000000003</v>
      </c>
      <c r="H120" s="188" t="e">
        <f t="shared" si="60"/>
        <v>#DIV/0!</v>
      </c>
    </row>
    <row r="121" spans="1:13" s="117" customFormat="1" ht="24" customHeight="1">
      <c r="A121" s="144" t="s">
        <v>196</v>
      </c>
      <c r="B121" s="138" t="s">
        <v>89</v>
      </c>
      <c r="C121" s="154">
        <v>1011</v>
      </c>
      <c r="D121" s="152">
        <f>SUM(D122:D130)</f>
        <v>1473.8</v>
      </c>
      <c r="E121" s="152">
        <f>SUM(E122:E130)</f>
        <v>0</v>
      </c>
      <c r="F121" s="152">
        <f>SUM(F122:F130)</f>
        <v>3178.2000000000003</v>
      </c>
      <c r="G121" s="155">
        <f t="shared" si="59"/>
        <v>3178.2000000000003</v>
      </c>
      <c r="H121" s="185" t="e">
        <f t="shared" si="60"/>
        <v>#DIV/0!</v>
      </c>
      <c r="J121" s="134"/>
      <c r="K121" s="135"/>
      <c r="L121" s="135"/>
      <c r="M121" s="135"/>
    </row>
    <row r="122" spans="1:13" ht="24" customHeight="1">
      <c r="A122" s="114"/>
      <c r="B122" s="16" t="s">
        <v>185</v>
      </c>
      <c r="C122" s="13"/>
      <c r="D122" s="27">
        <v>6.6</v>
      </c>
      <c r="E122" s="27"/>
      <c r="F122" s="27">
        <f>63.4</f>
        <v>63.4</v>
      </c>
      <c r="G122" s="19">
        <f t="shared" si="59"/>
        <v>63.4</v>
      </c>
      <c r="H122" s="184" t="e">
        <f t="shared" si="60"/>
        <v>#DIV/0!</v>
      </c>
    </row>
    <row r="123" spans="1:13" ht="21.75" customHeight="1">
      <c r="A123" s="114"/>
      <c r="B123" s="16" t="s">
        <v>216</v>
      </c>
      <c r="C123" s="9"/>
      <c r="D123" s="27">
        <v>217.1</v>
      </c>
      <c r="E123" s="27"/>
      <c r="F123" s="27">
        <v>289.2</v>
      </c>
      <c r="G123" s="19">
        <f t="shared" si="59"/>
        <v>289.2</v>
      </c>
      <c r="H123" s="184" t="e">
        <f t="shared" si="60"/>
        <v>#DIV/0!</v>
      </c>
    </row>
    <row r="124" spans="1:13" ht="21" customHeight="1">
      <c r="A124" s="114"/>
      <c r="B124" s="16" t="s">
        <v>197</v>
      </c>
      <c r="C124" s="9"/>
      <c r="D124" s="27">
        <v>125.7</v>
      </c>
      <c r="E124" s="27"/>
      <c r="F124" s="27">
        <v>74.3</v>
      </c>
      <c r="G124" s="19">
        <f t="shared" si="59"/>
        <v>74.3</v>
      </c>
      <c r="H124" s="184" t="e">
        <f t="shared" si="60"/>
        <v>#DIV/0!</v>
      </c>
    </row>
    <row r="125" spans="1:13" ht="20.25" customHeight="1">
      <c r="A125" s="114"/>
      <c r="B125" s="16" t="s">
        <v>141</v>
      </c>
      <c r="C125" s="9"/>
      <c r="D125" s="27">
        <v>39.799999999999997</v>
      </c>
      <c r="E125" s="27"/>
      <c r="F125" s="27">
        <v>20.100000000000001</v>
      </c>
      <c r="G125" s="19">
        <f t="shared" si="59"/>
        <v>20.100000000000001</v>
      </c>
      <c r="H125" s="184" t="e">
        <f t="shared" si="60"/>
        <v>#DIV/0!</v>
      </c>
    </row>
    <row r="126" spans="1:13" ht="18" customHeight="1">
      <c r="A126" s="114"/>
      <c r="B126" s="16" t="s">
        <v>142</v>
      </c>
      <c r="C126" s="9"/>
      <c r="D126" s="27"/>
      <c r="E126" s="27"/>
      <c r="F126" s="27">
        <v>33.5</v>
      </c>
      <c r="G126" s="19">
        <f t="shared" si="59"/>
        <v>33.5</v>
      </c>
      <c r="H126" s="184" t="e">
        <f t="shared" si="60"/>
        <v>#DIV/0!</v>
      </c>
    </row>
    <row r="127" spans="1:13" ht="22.5" customHeight="1">
      <c r="A127" s="114"/>
      <c r="B127" s="16" t="s">
        <v>198</v>
      </c>
      <c r="C127" s="9"/>
      <c r="D127" s="27"/>
      <c r="E127" s="27"/>
      <c r="F127" s="27">
        <v>1.2</v>
      </c>
      <c r="G127" s="19">
        <f t="shared" si="59"/>
        <v>1.2</v>
      </c>
      <c r="H127" s="184" t="e">
        <f t="shared" si="60"/>
        <v>#DIV/0!</v>
      </c>
    </row>
    <row r="128" spans="1:13" ht="21" customHeight="1">
      <c r="A128" s="114"/>
      <c r="B128" s="16" t="s">
        <v>144</v>
      </c>
      <c r="C128" s="9"/>
      <c r="D128" s="27">
        <v>56.4</v>
      </c>
      <c r="E128" s="27"/>
      <c r="F128" s="27">
        <v>28.6</v>
      </c>
      <c r="G128" s="19">
        <f t="shared" si="59"/>
        <v>28.6</v>
      </c>
      <c r="H128" s="184" t="e">
        <f t="shared" si="60"/>
        <v>#DIV/0!</v>
      </c>
    </row>
    <row r="129" spans="1:13" ht="20.25" customHeight="1">
      <c r="A129" s="114"/>
      <c r="B129" s="16" t="s">
        <v>111</v>
      </c>
      <c r="C129" s="31"/>
      <c r="D129" s="27">
        <f>5.4+568.9+2.1+325.5+160-33.9</f>
        <v>1028</v>
      </c>
      <c r="E129" s="27"/>
      <c r="F129" s="27">
        <v>2516.4</v>
      </c>
      <c r="G129" s="19">
        <f t="shared" si="59"/>
        <v>2516.4</v>
      </c>
      <c r="H129" s="184" t="e">
        <f t="shared" si="60"/>
        <v>#DIV/0!</v>
      </c>
    </row>
    <row r="130" spans="1:13" ht="20.25" customHeight="1">
      <c r="A130" s="114"/>
      <c r="B130" s="16" t="s">
        <v>132</v>
      </c>
      <c r="C130" s="9"/>
      <c r="D130" s="27">
        <v>0.2</v>
      </c>
      <c r="E130" s="27"/>
      <c r="F130" s="27">
        <v>151.5</v>
      </c>
      <c r="G130" s="19">
        <f t="shared" si="59"/>
        <v>151.5</v>
      </c>
      <c r="H130" s="184" t="e">
        <f t="shared" si="60"/>
        <v>#DIV/0!</v>
      </c>
    </row>
    <row r="131" spans="1:13" ht="24" customHeight="1">
      <c r="A131" s="114" t="s">
        <v>138</v>
      </c>
      <c r="B131" s="265" t="s">
        <v>275</v>
      </c>
      <c r="C131" s="13"/>
      <c r="D131" s="28">
        <f>SUM(D133,)</f>
        <v>0</v>
      </c>
      <c r="E131" s="28">
        <f t="shared" ref="E131:F131" si="63">SUM(E133,)</f>
        <v>0</v>
      </c>
      <c r="F131" s="28">
        <f t="shared" si="63"/>
        <v>12.4</v>
      </c>
      <c r="G131" s="75">
        <f t="shared" si="59"/>
        <v>12.4</v>
      </c>
      <c r="H131" s="184" t="e">
        <f t="shared" si="60"/>
        <v>#DIV/0!</v>
      </c>
    </row>
    <row r="132" spans="1:13" ht="20.25" customHeight="1">
      <c r="A132" s="114"/>
      <c r="B132" s="138" t="s">
        <v>72</v>
      </c>
      <c r="C132" s="9"/>
      <c r="D132" s="27"/>
      <c r="E132" s="27"/>
      <c r="F132" s="27"/>
      <c r="G132" s="19"/>
      <c r="H132" s="184"/>
    </row>
    <row r="133" spans="1:13" ht="36" customHeight="1">
      <c r="A133" s="140" t="s">
        <v>247</v>
      </c>
      <c r="B133" s="21" t="s">
        <v>76</v>
      </c>
      <c r="C133" s="141">
        <v>1010</v>
      </c>
      <c r="D133" s="142">
        <f>SUM(D134,)</f>
        <v>0</v>
      </c>
      <c r="E133" s="142">
        <f>SUM(E134,)</f>
        <v>0</v>
      </c>
      <c r="F133" s="142">
        <f>F135+F136</f>
        <v>12.4</v>
      </c>
      <c r="G133" s="143">
        <f t="shared" si="59"/>
        <v>12.4</v>
      </c>
      <c r="H133" s="188" t="e">
        <f t="shared" si="60"/>
        <v>#DIV/0!</v>
      </c>
    </row>
    <row r="134" spans="1:13" ht="24.75" customHeight="1">
      <c r="A134" s="144" t="s">
        <v>248</v>
      </c>
      <c r="B134" s="138" t="s">
        <v>89</v>
      </c>
      <c r="C134" s="154">
        <v>1011</v>
      </c>
      <c r="D134" s="152"/>
      <c r="E134" s="152">
        <f>SUM(E135:E136)</f>
        <v>0</v>
      </c>
      <c r="F134" s="152">
        <v>12.4</v>
      </c>
      <c r="G134" s="155">
        <f t="shared" si="59"/>
        <v>12.4</v>
      </c>
      <c r="H134" s="185" t="e">
        <f t="shared" si="60"/>
        <v>#DIV/0!</v>
      </c>
    </row>
    <row r="135" spans="1:13" ht="21" customHeight="1">
      <c r="A135" s="114"/>
      <c r="B135" s="16" t="s">
        <v>185</v>
      </c>
      <c r="C135" s="13"/>
      <c r="D135" s="27"/>
      <c r="E135" s="27"/>
      <c r="F135" s="27">
        <v>12.1</v>
      </c>
      <c r="G135" s="19">
        <f t="shared" si="59"/>
        <v>12.1</v>
      </c>
      <c r="H135" s="184" t="e">
        <f t="shared" si="60"/>
        <v>#DIV/0!</v>
      </c>
    </row>
    <row r="136" spans="1:13" ht="21" customHeight="1">
      <c r="A136" s="114"/>
      <c r="B136" s="16" t="s">
        <v>111</v>
      </c>
      <c r="C136" s="31"/>
      <c r="D136" s="27"/>
      <c r="E136" s="27"/>
      <c r="F136" s="27">
        <v>0.3</v>
      </c>
      <c r="G136" s="19">
        <f t="shared" si="59"/>
        <v>0.3</v>
      </c>
      <c r="H136" s="184" t="e">
        <f t="shared" si="60"/>
        <v>#DIV/0!</v>
      </c>
    </row>
    <row r="137" spans="1:13" s="117" customFormat="1" ht="30" customHeight="1">
      <c r="A137" s="114" t="s">
        <v>239</v>
      </c>
      <c r="B137" s="265" t="s">
        <v>276</v>
      </c>
      <c r="C137" s="13"/>
      <c r="D137" s="28"/>
      <c r="E137" s="28"/>
      <c r="F137" s="28">
        <v>462.1</v>
      </c>
      <c r="G137" s="75">
        <f t="shared" si="59"/>
        <v>462.1</v>
      </c>
      <c r="H137" s="187" t="e">
        <f t="shared" si="60"/>
        <v>#DIV/0!</v>
      </c>
      <c r="J137" s="134"/>
      <c r="K137" s="135"/>
      <c r="L137" s="135"/>
      <c r="M137" s="135"/>
    </row>
    <row r="138" spans="1:13" ht="25.5" customHeight="1">
      <c r="A138" s="114"/>
      <c r="B138" s="138" t="s">
        <v>72</v>
      </c>
      <c r="C138" s="9"/>
      <c r="D138" s="27"/>
      <c r="E138" s="27"/>
      <c r="F138" s="27"/>
      <c r="G138" s="19"/>
      <c r="H138" s="184"/>
    </row>
    <row r="139" spans="1:13" ht="43.5" customHeight="1">
      <c r="A139" s="140" t="s">
        <v>240</v>
      </c>
      <c r="B139" s="21" t="s">
        <v>76</v>
      </c>
      <c r="C139" s="141">
        <v>1010</v>
      </c>
      <c r="D139" s="142">
        <f>D140</f>
        <v>0</v>
      </c>
      <c r="E139" s="142">
        <f>SUM(E140)</f>
        <v>0</v>
      </c>
      <c r="F139" s="142">
        <v>462.1</v>
      </c>
      <c r="G139" s="143">
        <f t="shared" si="59"/>
        <v>462.1</v>
      </c>
      <c r="H139" s="188" t="e">
        <f t="shared" si="60"/>
        <v>#DIV/0!</v>
      </c>
    </row>
    <row r="140" spans="1:13" ht="24.75" customHeight="1">
      <c r="A140" s="144" t="s">
        <v>301</v>
      </c>
      <c r="B140" s="138" t="s">
        <v>89</v>
      </c>
      <c r="C140" s="154">
        <v>1011</v>
      </c>
      <c r="D140" s="152">
        <f>D141</f>
        <v>0</v>
      </c>
      <c r="E140" s="152">
        <f>SUM(E141)</f>
        <v>0</v>
      </c>
      <c r="F140" s="152">
        <v>462.1</v>
      </c>
      <c r="G140" s="155">
        <f t="shared" si="59"/>
        <v>462.1</v>
      </c>
      <c r="H140" s="185" t="e">
        <f t="shared" si="60"/>
        <v>#DIV/0!</v>
      </c>
    </row>
    <row r="141" spans="1:13" ht="23.25" customHeight="1">
      <c r="A141" s="114"/>
      <c r="B141" s="16" t="s">
        <v>111</v>
      </c>
      <c r="C141" s="31"/>
      <c r="D141" s="27"/>
      <c r="E141" s="27"/>
      <c r="F141" s="27">
        <v>462.1</v>
      </c>
      <c r="G141" s="19">
        <f t="shared" si="59"/>
        <v>462.1</v>
      </c>
      <c r="H141" s="184" t="e">
        <f t="shared" si="60"/>
        <v>#DIV/0!</v>
      </c>
    </row>
    <row r="142" spans="1:13" ht="42" customHeight="1">
      <c r="A142" s="114" t="s">
        <v>302</v>
      </c>
      <c r="B142" s="265" t="s">
        <v>259</v>
      </c>
      <c r="C142" s="13"/>
      <c r="D142" s="28">
        <f>D144</f>
        <v>33.9</v>
      </c>
      <c r="E142" s="28"/>
      <c r="F142" s="28">
        <f>F144</f>
        <v>0</v>
      </c>
      <c r="G142" s="187">
        <f t="shared" si="59"/>
        <v>0</v>
      </c>
      <c r="H142" s="187" t="e">
        <f t="shared" si="60"/>
        <v>#DIV/0!</v>
      </c>
    </row>
    <row r="143" spans="1:13" ht="27" customHeight="1">
      <c r="A143" s="114"/>
      <c r="B143" s="138" t="s">
        <v>72</v>
      </c>
      <c r="C143" s="13"/>
      <c r="D143" s="27"/>
      <c r="E143" s="27"/>
      <c r="F143" s="27"/>
      <c r="G143" s="19"/>
      <c r="H143" s="19"/>
    </row>
    <row r="144" spans="1:13" ht="41.25" customHeight="1">
      <c r="A144" s="140" t="s">
        <v>303</v>
      </c>
      <c r="B144" s="21" t="s">
        <v>76</v>
      </c>
      <c r="C144" s="141">
        <v>1010</v>
      </c>
      <c r="D144" s="142">
        <f>D145</f>
        <v>33.9</v>
      </c>
      <c r="E144" s="152"/>
      <c r="F144" s="152">
        <f>F145</f>
        <v>0</v>
      </c>
      <c r="G144" s="155">
        <f t="shared" si="59"/>
        <v>0</v>
      </c>
      <c r="H144" s="185" t="e">
        <f t="shared" si="60"/>
        <v>#DIV/0!</v>
      </c>
    </row>
    <row r="145" spans="1:13" ht="24" customHeight="1">
      <c r="A145" s="144" t="s">
        <v>304</v>
      </c>
      <c r="B145" s="138" t="s">
        <v>89</v>
      </c>
      <c r="C145" s="154">
        <v>1011</v>
      </c>
      <c r="D145" s="152">
        <f>D146</f>
        <v>33.9</v>
      </c>
      <c r="E145" s="152"/>
      <c r="F145" s="152">
        <f>F146</f>
        <v>0</v>
      </c>
      <c r="G145" s="155">
        <f t="shared" si="59"/>
        <v>0</v>
      </c>
      <c r="H145" s="185" t="e">
        <f t="shared" si="60"/>
        <v>#DIV/0!</v>
      </c>
    </row>
    <row r="146" spans="1:13" ht="26.25" customHeight="1">
      <c r="A146" s="114"/>
      <c r="B146" s="16" t="s">
        <v>111</v>
      </c>
      <c r="C146" s="13"/>
      <c r="D146" s="27">
        <v>33.9</v>
      </c>
      <c r="E146" s="27"/>
      <c r="F146" s="27"/>
      <c r="G146" s="19">
        <f t="shared" si="59"/>
        <v>0</v>
      </c>
      <c r="H146" s="184" t="e">
        <f t="shared" si="60"/>
        <v>#DIV/0!</v>
      </c>
    </row>
    <row r="147" spans="1:13" ht="36.75" customHeight="1">
      <c r="A147" s="114" t="s">
        <v>305</v>
      </c>
      <c r="B147" s="267" t="s">
        <v>186</v>
      </c>
      <c r="C147" s="13"/>
      <c r="D147" s="28">
        <f>D149+D157</f>
        <v>31.1</v>
      </c>
      <c r="E147" s="28">
        <f>E149+E157</f>
        <v>131</v>
      </c>
      <c r="F147" s="28">
        <f>F149+F157</f>
        <v>99</v>
      </c>
      <c r="G147" s="75">
        <f t="shared" si="59"/>
        <v>-32</v>
      </c>
      <c r="H147" s="75">
        <f t="shared" si="60"/>
        <v>75.572519083969468</v>
      </c>
    </row>
    <row r="148" spans="1:13" ht="23.25" customHeight="1">
      <c r="A148" s="114"/>
      <c r="B148" s="189" t="s">
        <v>72</v>
      </c>
      <c r="C148" s="13"/>
      <c r="D148" s="28"/>
      <c r="E148" s="28"/>
      <c r="F148" s="28"/>
      <c r="G148" s="75"/>
      <c r="H148" s="75"/>
    </row>
    <row r="149" spans="1:13" ht="42.75" customHeight="1">
      <c r="A149" s="140" t="s">
        <v>306</v>
      </c>
      <c r="B149" s="21" t="s">
        <v>76</v>
      </c>
      <c r="C149" s="141">
        <v>1010</v>
      </c>
      <c r="D149" s="142">
        <f>SUM(D150,D153)</f>
        <v>29.6</v>
      </c>
      <c r="E149" s="142">
        <f>SUM(E150,E153)</f>
        <v>130</v>
      </c>
      <c r="F149" s="142">
        <f>SUM(F150,F153)</f>
        <v>99</v>
      </c>
      <c r="G149" s="143">
        <f t="shared" si="59"/>
        <v>-31</v>
      </c>
      <c r="H149" s="143">
        <f t="shared" si="60"/>
        <v>76.153846153846146</v>
      </c>
    </row>
    <row r="150" spans="1:13" s="117" customFormat="1" ht="23.25" customHeight="1">
      <c r="A150" s="144" t="s">
        <v>307</v>
      </c>
      <c r="B150" s="138" t="s">
        <v>89</v>
      </c>
      <c r="C150" s="154">
        <v>1011</v>
      </c>
      <c r="D150" s="152">
        <f>SUM(D151)</f>
        <v>27.1</v>
      </c>
      <c r="E150" s="152">
        <f>SUM(E151,E152)</f>
        <v>20</v>
      </c>
      <c r="F150" s="152">
        <f>SUM(F151)</f>
        <v>0</v>
      </c>
      <c r="G150" s="155">
        <f t="shared" si="59"/>
        <v>-20</v>
      </c>
      <c r="H150" s="155">
        <f t="shared" si="60"/>
        <v>0</v>
      </c>
      <c r="J150" s="134"/>
      <c r="K150" s="135"/>
      <c r="L150" s="135"/>
      <c r="M150" s="135"/>
    </row>
    <row r="151" spans="1:13" ht="57.75" customHeight="1">
      <c r="A151" s="114"/>
      <c r="B151" s="33" t="s">
        <v>242</v>
      </c>
      <c r="C151" s="9"/>
      <c r="D151" s="27">
        <v>27.1</v>
      </c>
      <c r="E151" s="27"/>
      <c r="F151" s="27"/>
      <c r="G151" s="19">
        <f t="shared" si="59"/>
        <v>0</v>
      </c>
      <c r="H151" s="184" t="e">
        <f t="shared" si="60"/>
        <v>#DIV/0!</v>
      </c>
    </row>
    <row r="152" spans="1:13" ht="36.75" customHeight="1">
      <c r="A152" s="114"/>
      <c r="B152" s="18" t="s">
        <v>290</v>
      </c>
      <c r="C152" s="9"/>
      <c r="D152" s="27"/>
      <c r="E152" s="20">
        <v>20</v>
      </c>
      <c r="F152" s="27"/>
      <c r="G152" s="19">
        <f t="shared" si="59"/>
        <v>-20</v>
      </c>
      <c r="H152" s="19">
        <f t="shared" si="60"/>
        <v>0</v>
      </c>
    </row>
    <row r="153" spans="1:13" ht="22.5" customHeight="1">
      <c r="A153" s="144" t="s">
        <v>308</v>
      </c>
      <c r="B153" s="138" t="s">
        <v>79</v>
      </c>
      <c r="C153" s="154">
        <v>1015</v>
      </c>
      <c r="D153" s="152">
        <f>D154+D155</f>
        <v>2.5</v>
      </c>
      <c r="E153" s="152">
        <f>E154+E155+E156</f>
        <v>110</v>
      </c>
      <c r="F153" s="152">
        <f>F154+F155+F156</f>
        <v>99</v>
      </c>
      <c r="G153" s="155">
        <f t="shared" si="59"/>
        <v>-11</v>
      </c>
      <c r="H153" s="155">
        <f t="shared" si="60"/>
        <v>90</v>
      </c>
    </row>
    <row r="154" spans="1:13" ht="56.25">
      <c r="A154" s="114"/>
      <c r="B154" s="16" t="s">
        <v>251</v>
      </c>
      <c r="C154" s="9"/>
      <c r="D154" s="27">
        <v>1.5</v>
      </c>
      <c r="E154" s="20">
        <v>10</v>
      </c>
      <c r="F154" s="27"/>
      <c r="G154" s="19">
        <f t="shared" si="59"/>
        <v>-10</v>
      </c>
      <c r="H154" s="19">
        <f t="shared" si="60"/>
        <v>0</v>
      </c>
    </row>
    <row r="155" spans="1:13" ht="38.25" customHeight="1">
      <c r="A155" s="114"/>
      <c r="B155" s="16" t="s">
        <v>254</v>
      </c>
      <c r="C155" s="9"/>
      <c r="D155" s="27">
        <v>1</v>
      </c>
      <c r="E155" s="20">
        <v>1</v>
      </c>
      <c r="F155" s="27"/>
      <c r="G155" s="19">
        <f t="shared" si="59"/>
        <v>-1</v>
      </c>
      <c r="H155" s="19">
        <f t="shared" si="60"/>
        <v>0</v>
      </c>
    </row>
    <row r="156" spans="1:13" ht="38.25" customHeight="1">
      <c r="A156" s="114"/>
      <c r="B156" s="170" t="s">
        <v>277</v>
      </c>
      <c r="C156" s="9"/>
      <c r="D156" s="27"/>
      <c r="E156" s="20">
        <v>99</v>
      </c>
      <c r="F156" s="27">
        <v>99</v>
      </c>
      <c r="G156" s="19">
        <f t="shared" si="59"/>
        <v>0</v>
      </c>
      <c r="H156" s="19">
        <f t="shared" si="60"/>
        <v>100</v>
      </c>
    </row>
    <row r="157" spans="1:13" ht="26.25" customHeight="1">
      <c r="A157" s="140" t="s">
        <v>309</v>
      </c>
      <c r="B157" s="21" t="s">
        <v>77</v>
      </c>
      <c r="C157" s="141">
        <v>1020</v>
      </c>
      <c r="D157" s="142">
        <f>1.5</f>
        <v>1.5</v>
      </c>
      <c r="E157" s="142">
        <v>1</v>
      </c>
      <c r="F157" s="142"/>
      <c r="G157" s="143">
        <f t="shared" si="59"/>
        <v>-1</v>
      </c>
      <c r="H157" s="143">
        <f t="shared" si="60"/>
        <v>0</v>
      </c>
    </row>
    <row r="158" spans="1:13" ht="22.5" customHeight="1">
      <c r="A158" s="144" t="s">
        <v>310</v>
      </c>
      <c r="B158" s="162" t="s">
        <v>148</v>
      </c>
      <c r="C158" s="154">
        <v>1025</v>
      </c>
      <c r="D158" s="152">
        <v>1.5</v>
      </c>
      <c r="E158" s="152">
        <v>1</v>
      </c>
      <c r="F158" s="152"/>
      <c r="G158" s="155">
        <f t="shared" si="59"/>
        <v>-1</v>
      </c>
      <c r="H158" s="155">
        <f t="shared" si="60"/>
        <v>0</v>
      </c>
      <c r="J158" s="171"/>
      <c r="K158" s="193"/>
    </row>
    <row r="159" spans="1:13" ht="37.5">
      <c r="A159" s="114"/>
      <c r="B159" s="16" t="s">
        <v>151</v>
      </c>
      <c r="C159" s="9"/>
      <c r="D159" s="27">
        <v>1.5</v>
      </c>
      <c r="E159" s="20">
        <v>1</v>
      </c>
      <c r="F159" s="27"/>
      <c r="G159" s="19">
        <f t="shared" si="59"/>
        <v>-1</v>
      </c>
      <c r="H159" s="19">
        <f t="shared" si="60"/>
        <v>0</v>
      </c>
      <c r="J159" s="171"/>
      <c r="K159" s="193"/>
    </row>
    <row r="160" spans="1:13" ht="28.5" customHeight="1">
      <c r="A160" s="114" t="s">
        <v>311</v>
      </c>
      <c r="B160" s="265" t="s">
        <v>278</v>
      </c>
      <c r="C160" s="13"/>
      <c r="D160" s="28">
        <f>D162</f>
        <v>0</v>
      </c>
      <c r="E160" s="28">
        <f>E162</f>
        <v>0</v>
      </c>
      <c r="F160" s="28">
        <f>F162</f>
        <v>16.600000000000001</v>
      </c>
      <c r="G160" s="75">
        <f t="shared" si="59"/>
        <v>16.600000000000001</v>
      </c>
      <c r="H160" s="187" t="e">
        <f t="shared" si="60"/>
        <v>#DIV/0!</v>
      </c>
    </row>
    <row r="161" spans="1:8" ht="21.75" customHeight="1">
      <c r="A161" s="114"/>
      <c r="B161" s="169" t="s">
        <v>72</v>
      </c>
      <c r="C161" s="13"/>
      <c r="D161" s="28"/>
      <c r="E161" s="28"/>
      <c r="F161" s="28"/>
      <c r="G161" s="75"/>
      <c r="H161" s="75"/>
    </row>
    <row r="162" spans="1:8" ht="31.5" customHeight="1">
      <c r="A162" s="140" t="s">
        <v>312</v>
      </c>
      <c r="B162" s="163" t="s">
        <v>10</v>
      </c>
      <c r="C162" s="141">
        <v>1030</v>
      </c>
      <c r="D162" s="142">
        <f>D163</f>
        <v>0</v>
      </c>
      <c r="E162" s="142">
        <f>E163</f>
        <v>0</v>
      </c>
      <c r="F162" s="142">
        <f>F163</f>
        <v>16.600000000000001</v>
      </c>
      <c r="G162" s="75">
        <f t="shared" si="59"/>
        <v>16.600000000000001</v>
      </c>
      <c r="H162" s="187" t="e">
        <f t="shared" si="60"/>
        <v>#DIV/0!</v>
      </c>
    </row>
    <row r="163" spans="1:8" ht="26.25" customHeight="1">
      <c r="A163" s="144" t="s">
        <v>313</v>
      </c>
      <c r="B163" s="118" t="s">
        <v>279</v>
      </c>
      <c r="C163" s="13">
        <v>1035</v>
      </c>
      <c r="D163" s="152"/>
      <c r="E163" s="152"/>
      <c r="F163" s="152">
        <v>16.600000000000001</v>
      </c>
      <c r="G163" s="19">
        <f t="shared" si="59"/>
        <v>16.600000000000001</v>
      </c>
      <c r="H163" s="184" t="e">
        <f t="shared" si="60"/>
        <v>#DIV/0!</v>
      </c>
    </row>
    <row r="164" spans="1:8" ht="37.5">
      <c r="A164" s="114" t="s">
        <v>321</v>
      </c>
      <c r="B164" s="265" t="s">
        <v>208</v>
      </c>
      <c r="C164" s="9"/>
      <c r="D164" s="28">
        <f t="shared" ref="D164" si="64">SUM(D166,D168)</f>
        <v>3924.3</v>
      </c>
      <c r="E164" s="28">
        <f t="shared" ref="E164:F164" si="65">SUM(E166,E168)</f>
        <v>6640</v>
      </c>
      <c r="F164" s="28">
        <f t="shared" si="65"/>
        <v>6821.4</v>
      </c>
      <c r="G164" s="75">
        <f t="shared" si="59"/>
        <v>181.39999999999964</v>
      </c>
      <c r="H164" s="75">
        <f t="shared" si="60"/>
        <v>102.73192771084337</v>
      </c>
    </row>
    <row r="165" spans="1:8" ht="23.25" customHeight="1">
      <c r="A165" s="114"/>
      <c r="B165" s="138" t="s">
        <v>72</v>
      </c>
      <c r="C165" s="9"/>
      <c r="D165" s="28"/>
      <c r="E165" s="28"/>
      <c r="F165" s="28"/>
      <c r="G165" s="75"/>
      <c r="H165" s="75"/>
    </row>
    <row r="166" spans="1:8" ht="38.25" customHeight="1">
      <c r="A166" s="140" t="s">
        <v>322</v>
      </c>
      <c r="B166" s="21" t="s">
        <v>76</v>
      </c>
      <c r="C166" s="141">
        <v>1010</v>
      </c>
      <c r="D166" s="142">
        <f>D167</f>
        <v>3582.5</v>
      </c>
      <c r="E166" s="142">
        <f>E167</f>
        <v>6000</v>
      </c>
      <c r="F166" s="142">
        <f>F167</f>
        <v>6377.5999999999995</v>
      </c>
      <c r="G166" s="143">
        <f t="shared" si="59"/>
        <v>377.59999999999945</v>
      </c>
      <c r="H166" s="143">
        <f t="shared" si="60"/>
        <v>106.29333333333332</v>
      </c>
    </row>
    <row r="167" spans="1:8" ht="24.75" customHeight="1">
      <c r="A167" s="144"/>
      <c r="B167" s="138" t="s">
        <v>217</v>
      </c>
      <c r="C167" s="154">
        <v>1014</v>
      </c>
      <c r="D167" s="152">
        <f>3847.3-264.8</f>
        <v>3582.5</v>
      </c>
      <c r="E167" s="152">
        <v>6000</v>
      </c>
      <c r="F167" s="152">
        <f>6629.4-251.8</f>
        <v>6377.5999999999995</v>
      </c>
      <c r="G167" s="155">
        <f t="shared" si="59"/>
        <v>377.59999999999945</v>
      </c>
      <c r="H167" s="155">
        <f t="shared" si="60"/>
        <v>106.29333333333332</v>
      </c>
    </row>
    <row r="168" spans="1:8" ht="26.25" customHeight="1">
      <c r="A168" s="140" t="s">
        <v>323</v>
      </c>
      <c r="B168" s="163" t="s">
        <v>10</v>
      </c>
      <c r="C168" s="141">
        <v>1030</v>
      </c>
      <c r="D168" s="142">
        <f t="shared" ref="D168:F168" si="66">SUM(D169)</f>
        <v>341.8</v>
      </c>
      <c r="E168" s="142">
        <f t="shared" si="66"/>
        <v>640</v>
      </c>
      <c r="F168" s="142">
        <f t="shared" si="66"/>
        <v>443.8</v>
      </c>
      <c r="G168" s="143">
        <f t="shared" si="59"/>
        <v>-196.2</v>
      </c>
      <c r="H168" s="143">
        <f t="shared" si="60"/>
        <v>69.34375</v>
      </c>
    </row>
    <row r="169" spans="1:8" ht="24" customHeight="1">
      <c r="A169" s="144"/>
      <c r="B169" s="138" t="s">
        <v>220</v>
      </c>
      <c r="C169" s="154">
        <v>1034</v>
      </c>
      <c r="D169" s="152">
        <v>341.8</v>
      </c>
      <c r="E169" s="152">
        <v>640</v>
      </c>
      <c r="F169" s="152">
        <v>443.8</v>
      </c>
      <c r="G169" s="155">
        <f t="shared" si="59"/>
        <v>-196.2</v>
      </c>
      <c r="H169" s="155">
        <f t="shared" si="60"/>
        <v>69.34375</v>
      </c>
    </row>
    <row r="170" spans="1:8" ht="141" customHeight="1">
      <c r="B170" s="312" t="s">
        <v>133</v>
      </c>
      <c r="C170" s="312"/>
      <c r="D170" s="313"/>
      <c r="E170" s="313"/>
      <c r="F170" s="172"/>
      <c r="G170" s="314" t="s">
        <v>257</v>
      </c>
      <c r="H170" s="314"/>
    </row>
    <row r="171" spans="1:8">
      <c r="B171" s="198" t="s">
        <v>54</v>
      </c>
      <c r="C171" s="133"/>
      <c r="D171" s="307" t="s">
        <v>9</v>
      </c>
      <c r="E171" s="307"/>
      <c r="F171" s="173"/>
      <c r="G171" s="308" t="s">
        <v>14</v>
      </c>
      <c r="H171" s="308"/>
    </row>
    <row r="172" spans="1:8">
      <c r="B172" s="133"/>
    </row>
    <row r="173" spans="1:8">
      <c r="B173" s="133"/>
      <c r="C173" s="115"/>
      <c r="D173" s="115"/>
      <c r="E173" s="115"/>
      <c r="F173" s="115"/>
    </row>
    <row r="174" spans="1:8">
      <c r="B174" s="133"/>
      <c r="C174" s="115"/>
      <c r="D174" s="115"/>
      <c r="E174" s="115"/>
      <c r="F174" s="115"/>
    </row>
    <row r="175" spans="1:8">
      <c r="B175" s="133"/>
      <c r="C175" s="115"/>
      <c r="D175" s="115"/>
      <c r="E175" s="115"/>
      <c r="F175" s="115"/>
    </row>
    <row r="176" spans="1:8">
      <c r="B176" s="133"/>
      <c r="C176" s="115"/>
      <c r="D176" s="115"/>
      <c r="E176" s="115"/>
      <c r="F176" s="115"/>
    </row>
    <row r="177" spans="2:6">
      <c r="B177" s="133"/>
      <c r="C177" s="115"/>
      <c r="D177" s="115"/>
      <c r="E177" s="115"/>
      <c r="F177" s="115"/>
    </row>
    <row r="178" spans="2:6">
      <c r="B178" s="133"/>
      <c r="C178" s="115"/>
      <c r="D178" s="115"/>
      <c r="E178" s="115"/>
      <c r="F178" s="115"/>
    </row>
    <row r="179" spans="2:6">
      <c r="B179" s="133"/>
      <c r="C179" s="115"/>
      <c r="D179" s="115"/>
      <c r="E179" s="115"/>
      <c r="F179" s="115"/>
    </row>
    <row r="180" spans="2:6">
      <c r="B180" s="133"/>
      <c r="C180" s="115"/>
      <c r="D180" s="115"/>
      <c r="E180" s="115"/>
      <c r="F180" s="115"/>
    </row>
    <row r="181" spans="2:6">
      <c r="B181" s="133"/>
      <c r="C181" s="115"/>
      <c r="D181" s="115"/>
      <c r="E181" s="115"/>
      <c r="F181" s="115"/>
    </row>
    <row r="182" spans="2:6">
      <c r="B182" s="133"/>
      <c r="C182" s="115"/>
      <c r="D182" s="115"/>
      <c r="E182" s="115"/>
      <c r="F182" s="115"/>
    </row>
    <row r="183" spans="2:6">
      <c r="B183" s="133"/>
      <c r="C183" s="115"/>
      <c r="D183" s="115"/>
      <c r="E183" s="115"/>
      <c r="F183" s="115"/>
    </row>
    <row r="184" spans="2:6">
      <c r="B184" s="133"/>
      <c r="C184" s="115"/>
      <c r="D184" s="115"/>
      <c r="E184" s="115"/>
      <c r="F184" s="115"/>
    </row>
    <row r="185" spans="2:6">
      <c r="B185" s="133"/>
      <c r="C185" s="115"/>
      <c r="D185" s="115"/>
      <c r="E185" s="115"/>
      <c r="F185" s="115"/>
    </row>
    <row r="186" spans="2:6">
      <c r="B186" s="133"/>
      <c r="C186" s="115"/>
      <c r="D186" s="115"/>
      <c r="E186" s="115"/>
      <c r="F186" s="115"/>
    </row>
    <row r="187" spans="2:6">
      <c r="B187" s="133"/>
      <c r="C187" s="115"/>
      <c r="D187" s="115"/>
      <c r="E187" s="115"/>
      <c r="F187" s="115"/>
    </row>
    <row r="188" spans="2:6">
      <c r="B188" s="133"/>
      <c r="C188" s="115"/>
      <c r="D188" s="115"/>
      <c r="E188" s="115"/>
      <c r="F188" s="115"/>
    </row>
    <row r="189" spans="2:6">
      <c r="B189" s="133"/>
      <c r="C189" s="115"/>
      <c r="D189" s="115"/>
      <c r="E189" s="115"/>
      <c r="F189" s="115"/>
    </row>
    <row r="190" spans="2:6">
      <c r="B190" s="133"/>
      <c r="C190" s="115"/>
      <c r="D190" s="115"/>
      <c r="E190" s="115"/>
      <c r="F190" s="115"/>
    </row>
    <row r="191" spans="2:6">
      <c r="B191" s="133"/>
      <c r="C191" s="115"/>
      <c r="D191" s="115"/>
      <c r="E191" s="115"/>
      <c r="F191" s="115"/>
    </row>
    <row r="192" spans="2:6">
      <c r="B192" s="133"/>
      <c r="C192" s="115"/>
      <c r="D192" s="115"/>
      <c r="E192" s="115"/>
      <c r="F192" s="115"/>
    </row>
    <row r="193" spans="2:6">
      <c r="B193" s="133"/>
      <c r="C193" s="115"/>
      <c r="D193" s="115"/>
      <c r="E193" s="115"/>
      <c r="F193" s="115"/>
    </row>
    <row r="194" spans="2:6">
      <c r="B194" s="133"/>
      <c r="C194" s="115"/>
      <c r="D194" s="115"/>
      <c r="E194" s="115"/>
      <c r="F194" s="115"/>
    </row>
    <row r="195" spans="2:6">
      <c r="B195" s="133"/>
      <c r="C195" s="115"/>
      <c r="D195" s="115"/>
      <c r="E195" s="115"/>
      <c r="F195" s="115"/>
    </row>
    <row r="196" spans="2:6">
      <c r="B196" s="133"/>
      <c r="C196" s="115"/>
      <c r="D196" s="115"/>
      <c r="E196" s="115"/>
      <c r="F196" s="115"/>
    </row>
    <row r="197" spans="2:6">
      <c r="B197" s="133"/>
      <c r="C197" s="115"/>
      <c r="D197" s="115"/>
      <c r="E197" s="115"/>
      <c r="F197" s="115"/>
    </row>
    <row r="198" spans="2:6">
      <c r="B198" s="133"/>
      <c r="C198" s="115"/>
      <c r="D198" s="115"/>
      <c r="E198" s="115"/>
      <c r="F198" s="115"/>
    </row>
    <row r="199" spans="2:6">
      <c r="B199" s="133"/>
      <c r="C199" s="115"/>
      <c r="D199" s="115"/>
      <c r="E199" s="115"/>
      <c r="F199" s="115"/>
    </row>
    <row r="200" spans="2:6">
      <c r="B200" s="133"/>
      <c r="C200" s="115"/>
      <c r="D200" s="115"/>
      <c r="E200" s="115"/>
      <c r="F200" s="115"/>
    </row>
    <row r="201" spans="2:6">
      <c r="B201" s="133"/>
      <c r="C201" s="115"/>
      <c r="D201" s="115"/>
      <c r="E201" s="115"/>
      <c r="F201" s="115"/>
    </row>
    <row r="202" spans="2:6">
      <c r="B202" s="133"/>
      <c r="C202" s="115"/>
      <c r="D202" s="115"/>
      <c r="E202" s="115"/>
      <c r="F202" s="115"/>
    </row>
    <row r="203" spans="2:6">
      <c r="B203" s="133"/>
      <c r="C203" s="115"/>
      <c r="D203" s="115"/>
      <c r="E203" s="115"/>
      <c r="F203" s="115"/>
    </row>
    <row r="204" spans="2:6">
      <c r="B204" s="133"/>
      <c r="C204" s="115"/>
      <c r="D204" s="115"/>
      <c r="E204" s="115"/>
      <c r="F204" s="115"/>
    </row>
    <row r="205" spans="2:6">
      <c r="B205" s="133"/>
      <c r="C205" s="115"/>
      <c r="D205" s="115"/>
      <c r="E205" s="115"/>
      <c r="F205" s="115"/>
    </row>
  </sheetData>
  <mergeCells count="7">
    <mergeCell ref="D171:E171"/>
    <mergeCell ref="G171:H171"/>
    <mergeCell ref="B1:H1"/>
    <mergeCell ref="A5:B5"/>
    <mergeCell ref="B170:C170"/>
    <mergeCell ref="D170:E170"/>
    <mergeCell ref="G170:H170"/>
  </mergeCells>
  <pageMargins left="0.39370078740157483" right="0.39370078740157483" top="0.78740157480314965" bottom="0.39370078740157483" header="0.39370078740157483" footer="0.19685039370078741"/>
  <pageSetup paperSize="9"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G47"/>
  <sheetViews>
    <sheetView tabSelected="1" view="pageBreakPreview" zoomScaleSheetLayoutView="100" workbookViewId="0">
      <selection activeCell="E5" sqref="E5"/>
    </sheetView>
  </sheetViews>
  <sheetFormatPr defaultRowHeight="18.75"/>
  <cols>
    <col min="1" max="1" width="76.42578125" style="5" customWidth="1"/>
    <col min="2" max="2" width="10.140625" style="73" customWidth="1"/>
    <col min="3" max="3" width="14.7109375" style="39" customWidth="1"/>
    <col min="4" max="4" width="14.28515625" style="32" customWidth="1"/>
    <col min="5" max="5" width="14.140625" style="32" customWidth="1"/>
    <col min="6" max="6" width="14.28515625" style="73" customWidth="1"/>
    <col min="7" max="7" width="14" style="73" customWidth="1"/>
    <col min="8" max="16384" width="9.140625" style="5"/>
  </cols>
  <sheetData>
    <row r="1" spans="1:7" ht="19.5" customHeight="1">
      <c r="A1" s="315" t="s">
        <v>85</v>
      </c>
      <c r="B1" s="315"/>
      <c r="C1" s="315"/>
      <c r="D1" s="315"/>
      <c r="E1" s="315"/>
      <c r="F1" s="315"/>
    </row>
    <row r="2" spans="1:7" ht="15" customHeight="1">
      <c r="A2" s="125"/>
      <c r="B2" s="103"/>
      <c r="C2" s="38"/>
      <c r="D2" s="30"/>
      <c r="E2" s="30"/>
      <c r="F2" s="103"/>
      <c r="G2" s="25" t="s">
        <v>59</v>
      </c>
    </row>
    <row r="3" spans="1:7" ht="87.75" customHeight="1">
      <c r="A3" s="57" t="s">
        <v>20</v>
      </c>
      <c r="B3" s="11" t="s">
        <v>4</v>
      </c>
      <c r="C3" s="11" t="s">
        <v>268</v>
      </c>
      <c r="D3" s="11" t="s">
        <v>266</v>
      </c>
      <c r="E3" s="11" t="s">
        <v>269</v>
      </c>
      <c r="F3" s="119" t="s">
        <v>95</v>
      </c>
      <c r="G3" s="11" t="s">
        <v>96</v>
      </c>
    </row>
    <row r="4" spans="1:7" s="14" customFormat="1" ht="21" customHeight="1">
      <c r="A4" s="57">
        <v>1</v>
      </c>
      <c r="B4" s="45">
        <v>2</v>
      </c>
      <c r="C4" s="58">
        <v>3</v>
      </c>
      <c r="D4" s="17">
        <v>4</v>
      </c>
      <c r="E4" s="17">
        <v>5</v>
      </c>
      <c r="F4" s="45">
        <v>6</v>
      </c>
      <c r="G4" s="15">
        <v>7</v>
      </c>
    </row>
    <row r="5" spans="1:7" ht="32.25" customHeight="1">
      <c r="A5" s="34" t="s">
        <v>218</v>
      </c>
      <c r="B5" s="13">
        <v>4000</v>
      </c>
      <c r="C5" s="59">
        <f>C6+C12</f>
        <v>125204.1</v>
      </c>
      <c r="D5" s="59">
        <f>D6+D12+D14</f>
        <v>2749.9</v>
      </c>
      <c r="E5" s="59">
        <f>E6+E12+E14</f>
        <v>1512.1</v>
      </c>
      <c r="F5" s="60">
        <f t="shared" ref="F5:F6" si="0">E5-D5</f>
        <v>-1237.8000000000002</v>
      </c>
      <c r="G5" s="252">
        <f>(E5/D5)*100</f>
        <v>54.987454089239606</v>
      </c>
    </row>
    <row r="6" spans="1:7" ht="24.75" customHeight="1">
      <c r="A6" s="21" t="s">
        <v>154</v>
      </c>
      <c r="B6" s="255">
        <v>4020</v>
      </c>
      <c r="C6" s="258">
        <f>SUM(C7:C9)</f>
        <v>0</v>
      </c>
      <c r="D6" s="258">
        <f>SUM(D7:D11)</f>
        <v>238</v>
      </c>
      <c r="E6" s="258">
        <f>SUM(E7:E11)</f>
        <v>385.59999999999997</v>
      </c>
      <c r="F6" s="259">
        <f t="shared" si="0"/>
        <v>147.59999999999997</v>
      </c>
      <c r="G6" s="253">
        <f t="shared" ref="G6" si="1">(E6/D6)*100</f>
        <v>162.01680672268907</v>
      </c>
    </row>
    <row r="7" spans="1:7" ht="23.25" customHeight="1">
      <c r="A7" s="16" t="s">
        <v>280</v>
      </c>
      <c r="B7" s="22"/>
      <c r="C7" s="19"/>
      <c r="D7" s="19"/>
      <c r="E7" s="19">
        <v>96</v>
      </c>
      <c r="F7" s="12">
        <f>E7-D7</f>
        <v>96</v>
      </c>
      <c r="G7" s="110" t="e">
        <f>E7/D7*100</f>
        <v>#DIV/0!</v>
      </c>
    </row>
    <row r="8" spans="1:7" ht="43.5" customHeight="1">
      <c r="A8" s="16" t="s">
        <v>281</v>
      </c>
      <c r="B8" s="22"/>
      <c r="C8" s="19"/>
      <c r="D8" s="19"/>
      <c r="E8" s="19">
        <v>237.9</v>
      </c>
      <c r="F8" s="12">
        <f t="shared" ref="F8:F10" si="2">E8-D8</f>
        <v>237.9</v>
      </c>
      <c r="G8" s="110" t="e">
        <f t="shared" ref="G8:G9" si="3">E8/D8*100</f>
        <v>#DIV/0!</v>
      </c>
    </row>
    <row r="9" spans="1:7" ht="26.25" customHeight="1">
      <c r="A9" s="16" t="s">
        <v>282</v>
      </c>
      <c r="B9" s="22"/>
      <c r="C9" s="19"/>
      <c r="D9" s="19"/>
      <c r="E9" s="19">
        <v>24.8</v>
      </c>
      <c r="F9" s="12">
        <f t="shared" si="2"/>
        <v>24.8</v>
      </c>
      <c r="G9" s="110" t="e">
        <f t="shared" si="3"/>
        <v>#DIV/0!</v>
      </c>
    </row>
    <row r="10" spans="1:7" ht="27" customHeight="1">
      <c r="A10" s="16" t="s">
        <v>283</v>
      </c>
      <c r="B10" s="22"/>
      <c r="C10" s="19"/>
      <c r="D10" s="19"/>
      <c r="E10" s="19">
        <v>26.9</v>
      </c>
      <c r="F10" s="12">
        <f t="shared" si="2"/>
        <v>26.9</v>
      </c>
      <c r="G10" s="110"/>
    </row>
    <row r="11" spans="1:7" ht="26.25" customHeight="1">
      <c r="A11" s="29" t="s">
        <v>294</v>
      </c>
      <c r="B11" s="22"/>
      <c r="C11" s="19"/>
      <c r="D11" s="19">
        <v>238</v>
      </c>
      <c r="E11" s="19"/>
      <c r="F11" s="12"/>
      <c r="G11" s="35"/>
    </row>
    <row r="12" spans="1:7" ht="46.5" customHeight="1">
      <c r="A12" s="21" t="s">
        <v>57</v>
      </c>
      <c r="B12" s="255">
        <v>4050</v>
      </c>
      <c r="C12" s="143">
        <f>C13</f>
        <v>125204.1</v>
      </c>
      <c r="D12" s="155"/>
      <c r="E12" s="143">
        <f>E13</f>
        <v>0</v>
      </c>
      <c r="F12" s="249">
        <f t="shared" ref="F12" si="4">E12-D12</f>
        <v>0</v>
      </c>
      <c r="G12" s="256" t="e">
        <f t="shared" ref="G12:G15" si="5">E12/D12*100</f>
        <v>#DIV/0!</v>
      </c>
    </row>
    <row r="13" spans="1:7" ht="39.75" customHeight="1">
      <c r="A13" s="113" t="s">
        <v>260</v>
      </c>
      <c r="B13" s="22"/>
      <c r="C13" s="257">
        <v>125204.1</v>
      </c>
      <c r="D13" s="19"/>
      <c r="E13" s="48"/>
      <c r="F13" s="48"/>
      <c r="G13" s="110" t="e">
        <f t="shared" si="5"/>
        <v>#DIV/0!</v>
      </c>
    </row>
    <row r="14" spans="1:7" ht="24.75" customHeight="1">
      <c r="A14" s="250" t="s">
        <v>284</v>
      </c>
      <c r="B14" s="174">
        <v>4060</v>
      </c>
      <c r="C14" s="251"/>
      <c r="D14" s="143">
        <f>D15</f>
        <v>2511.9</v>
      </c>
      <c r="E14" s="251">
        <f>E15</f>
        <v>1126.5</v>
      </c>
      <c r="F14" s="249">
        <f t="shared" ref="F14:F15" si="6">E14-D14</f>
        <v>-1385.4</v>
      </c>
      <c r="G14" s="254">
        <f t="shared" si="5"/>
        <v>44.846530514749787</v>
      </c>
    </row>
    <row r="15" spans="1:7" ht="39.75" customHeight="1">
      <c r="A15" s="170" t="s">
        <v>285</v>
      </c>
      <c r="B15" s="11"/>
      <c r="C15" s="19"/>
      <c r="D15" s="19">
        <v>2511.9</v>
      </c>
      <c r="E15" s="19">
        <v>1126.5</v>
      </c>
      <c r="F15" s="12">
        <f t="shared" si="6"/>
        <v>-1385.4</v>
      </c>
      <c r="G15" s="35">
        <f t="shared" si="5"/>
        <v>44.846530514749787</v>
      </c>
    </row>
    <row r="16" spans="1:7" ht="77.25" customHeight="1">
      <c r="A16" s="316" t="s">
        <v>133</v>
      </c>
      <c r="B16" s="316"/>
      <c r="C16" s="40"/>
      <c r="D16" s="61"/>
      <c r="E16" s="107"/>
      <c r="F16" s="108" t="s">
        <v>257</v>
      </c>
      <c r="G16" s="109"/>
    </row>
    <row r="17" spans="1:7" s="14" customFormat="1" ht="16.5" customHeight="1">
      <c r="A17" s="26" t="s">
        <v>8</v>
      </c>
      <c r="B17" s="126"/>
      <c r="C17" s="317" t="s">
        <v>9</v>
      </c>
      <c r="D17" s="317"/>
      <c r="E17" s="318" t="s">
        <v>14</v>
      </c>
      <c r="F17" s="318"/>
      <c r="G17" s="318"/>
    </row>
    <row r="18" spans="1:7">
      <c r="A18" s="6"/>
    </row>
    <row r="19" spans="1:7">
      <c r="A19" s="6"/>
    </row>
    <row r="20" spans="1:7">
      <c r="A20" s="6"/>
    </row>
    <row r="21" spans="1:7">
      <c r="A21" s="6"/>
    </row>
    <row r="22" spans="1:7">
      <c r="A22" s="6"/>
    </row>
    <row r="23" spans="1:7">
      <c r="A23" s="6"/>
    </row>
    <row r="24" spans="1:7">
      <c r="A24" s="6"/>
    </row>
    <row r="25" spans="1:7">
      <c r="A25" s="6"/>
    </row>
    <row r="26" spans="1:7">
      <c r="A26" s="6"/>
    </row>
    <row r="27" spans="1:7">
      <c r="A27" s="6"/>
    </row>
    <row r="28" spans="1:7">
      <c r="A28" s="6"/>
    </row>
    <row r="29" spans="1:7">
      <c r="A29" s="6"/>
    </row>
    <row r="30" spans="1:7">
      <c r="A30" s="6"/>
    </row>
    <row r="31" spans="1:7">
      <c r="A31" s="6"/>
    </row>
    <row r="32" spans="1:7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</sheetData>
  <mergeCells count="4">
    <mergeCell ref="A1:F1"/>
    <mergeCell ref="A16:B16"/>
    <mergeCell ref="C17:D17"/>
    <mergeCell ref="E17:G17"/>
  </mergeCells>
  <printOptions horizontalCentered="1"/>
  <pageMargins left="0.39370078740157483" right="0.39370078740157483" top="0.59055118110236227" bottom="0.39370078740157483" header="0.19685039370078741" footer="0.19685039370078741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N20"/>
  <sheetViews>
    <sheetView view="pageBreakPreview" zoomScale="60" zoomScaleNormal="60" workbookViewId="0">
      <selection activeCell="N7" sqref="N7"/>
    </sheetView>
  </sheetViews>
  <sheetFormatPr defaultRowHeight="20.25"/>
  <cols>
    <col min="1" max="1" width="5.42578125" style="41" customWidth="1"/>
    <col min="2" max="2" width="36.28515625" style="41" customWidth="1"/>
    <col min="3" max="3" width="14.28515625" style="41" customWidth="1"/>
    <col min="4" max="4" width="13.7109375" style="41" customWidth="1"/>
    <col min="5" max="5" width="14" style="41" customWidth="1"/>
    <col min="6" max="6" width="14.5703125" style="41" customWidth="1"/>
    <col min="7" max="7" width="14" style="41" customWidth="1"/>
    <col min="8" max="8" width="13.5703125" style="41" customWidth="1"/>
    <col min="9" max="9" width="13.7109375" style="41" customWidth="1"/>
    <col min="10" max="10" width="13.42578125" style="41" customWidth="1"/>
    <col min="11" max="11" width="13.5703125" style="41" customWidth="1"/>
    <col min="12" max="12" width="13.140625" style="41" customWidth="1"/>
    <col min="13" max="13" width="12.28515625" style="41" customWidth="1"/>
    <col min="14" max="14" width="13.42578125" style="41" customWidth="1"/>
    <col min="15" max="16" width="9.140625" style="3"/>
    <col min="17" max="19" width="9.140625" style="3" customWidth="1"/>
    <col min="20" max="16384" width="9.140625" style="3"/>
  </cols>
  <sheetData>
    <row r="1" spans="1:14" s="7" customFormat="1" ht="32.25" customHeight="1">
      <c r="A1" s="283" t="s">
        <v>139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42"/>
    </row>
    <row r="2" spans="1:14">
      <c r="A2" s="68"/>
      <c r="B2" s="68"/>
      <c r="C2" s="43"/>
      <c r="D2" s="43"/>
      <c r="E2" s="43"/>
      <c r="F2" s="43"/>
      <c r="N2" s="69" t="s">
        <v>45</v>
      </c>
    </row>
    <row r="3" spans="1:14" ht="33.75" customHeight="1">
      <c r="A3" s="322" t="s">
        <v>6</v>
      </c>
      <c r="B3" s="328" t="s">
        <v>17</v>
      </c>
      <c r="C3" s="324" t="s">
        <v>104</v>
      </c>
      <c r="D3" s="325"/>
      <c r="E3" s="324" t="s">
        <v>211</v>
      </c>
      <c r="F3" s="325"/>
      <c r="G3" s="324" t="s">
        <v>105</v>
      </c>
      <c r="H3" s="325"/>
      <c r="I3" s="324" t="s">
        <v>212</v>
      </c>
      <c r="J3" s="325"/>
      <c r="K3" s="324" t="s">
        <v>106</v>
      </c>
      <c r="L3" s="325"/>
      <c r="M3" s="325"/>
      <c r="N3" s="326"/>
    </row>
    <row r="4" spans="1:14" ht="81" customHeight="1">
      <c r="A4" s="323"/>
      <c r="B4" s="329"/>
      <c r="C4" s="10" t="s">
        <v>266</v>
      </c>
      <c r="D4" s="11" t="s">
        <v>267</v>
      </c>
      <c r="E4" s="10" t="s">
        <v>266</v>
      </c>
      <c r="F4" s="11" t="s">
        <v>267</v>
      </c>
      <c r="G4" s="10" t="s">
        <v>266</v>
      </c>
      <c r="H4" s="11" t="s">
        <v>267</v>
      </c>
      <c r="I4" s="10" t="s">
        <v>266</v>
      </c>
      <c r="J4" s="11" t="s">
        <v>267</v>
      </c>
      <c r="K4" s="10" t="s">
        <v>266</v>
      </c>
      <c r="L4" s="11" t="s">
        <v>267</v>
      </c>
      <c r="M4" s="45" t="s">
        <v>92</v>
      </c>
      <c r="N4" s="45" t="s">
        <v>94</v>
      </c>
    </row>
    <row r="5" spans="1:14" ht="16.5" customHeight="1">
      <c r="A5" s="45">
        <v>1</v>
      </c>
      <c r="B5" s="127">
        <v>2</v>
      </c>
      <c r="C5" s="15">
        <v>3</v>
      </c>
      <c r="D5" s="45">
        <v>4</v>
      </c>
      <c r="E5" s="15">
        <v>5</v>
      </c>
      <c r="F5" s="45">
        <v>6</v>
      </c>
      <c r="G5" s="15">
        <v>7</v>
      </c>
      <c r="H5" s="4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</row>
    <row r="6" spans="1:14" ht="63.75" customHeight="1">
      <c r="A6" s="195">
        <v>1</v>
      </c>
      <c r="B6" s="175" t="s">
        <v>286</v>
      </c>
      <c r="C6" s="46"/>
      <c r="D6" s="46"/>
      <c r="E6" s="46"/>
      <c r="F6" s="46"/>
      <c r="G6" s="46"/>
      <c r="H6" s="46"/>
      <c r="I6" s="46">
        <f>I7+I8+I9+I10</f>
        <v>238</v>
      </c>
      <c r="J6" s="46">
        <f>J7+J8+J9+J10</f>
        <v>385.59999999999997</v>
      </c>
      <c r="K6" s="46">
        <f>C6+E6+G6+I6</f>
        <v>238</v>
      </c>
      <c r="L6" s="46">
        <f>D6+F6+H6+J6</f>
        <v>385.59999999999997</v>
      </c>
      <c r="M6" s="46">
        <f>K6-L6</f>
        <v>-147.59999999999997</v>
      </c>
      <c r="N6" s="46">
        <f>L6/K6*100</f>
        <v>162.01680672268907</v>
      </c>
    </row>
    <row r="7" spans="1:14" ht="54" customHeight="1">
      <c r="A7" s="195"/>
      <c r="B7" s="16" t="s">
        <v>280</v>
      </c>
      <c r="C7" s="46"/>
      <c r="D7" s="46"/>
      <c r="E7" s="46"/>
      <c r="F7" s="46"/>
      <c r="G7" s="46"/>
      <c r="H7" s="46"/>
      <c r="I7" s="46"/>
      <c r="J7" s="19">
        <v>96</v>
      </c>
      <c r="K7" s="46">
        <f t="shared" ref="K7:K13" si="0">C7+E7+G7+I7</f>
        <v>0</v>
      </c>
      <c r="L7" s="46">
        <f t="shared" ref="L7:L13" si="1">D7+F7+H7+J7</f>
        <v>96</v>
      </c>
      <c r="M7" s="46">
        <f t="shared" ref="M7:M12" si="2">K7-L7</f>
        <v>-96</v>
      </c>
      <c r="N7" s="111" t="e">
        <f t="shared" ref="N7:N12" si="3">L7/K7*100</f>
        <v>#DIV/0!</v>
      </c>
    </row>
    <row r="8" spans="1:14" ht="75.75" customHeight="1">
      <c r="A8" s="195"/>
      <c r="B8" s="16" t="s">
        <v>281</v>
      </c>
      <c r="C8" s="46"/>
      <c r="D8" s="46"/>
      <c r="E8" s="46"/>
      <c r="F8" s="46"/>
      <c r="G8" s="46"/>
      <c r="H8" s="46"/>
      <c r="I8" s="46">
        <v>238</v>
      </c>
      <c r="J8" s="19">
        <v>237.9</v>
      </c>
      <c r="K8" s="46">
        <f t="shared" si="0"/>
        <v>238</v>
      </c>
      <c r="L8" s="46">
        <f t="shared" si="1"/>
        <v>237.9</v>
      </c>
      <c r="M8" s="46">
        <f t="shared" si="2"/>
        <v>9.9999999999994316E-2</v>
      </c>
      <c r="N8" s="46">
        <f t="shared" si="3"/>
        <v>99.957983193277315</v>
      </c>
    </row>
    <row r="9" spans="1:14" ht="54.75" customHeight="1">
      <c r="A9" s="195"/>
      <c r="B9" s="16" t="s">
        <v>282</v>
      </c>
      <c r="C9" s="46"/>
      <c r="D9" s="46"/>
      <c r="E9" s="46"/>
      <c r="F9" s="46"/>
      <c r="G9" s="46"/>
      <c r="H9" s="46"/>
      <c r="I9" s="46"/>
      <c r="J9" s="19">
        <v>24.8</v>
      </c>
      <c r="K9" s="46">
        <f t="shared" si="0"/>
        <v>0</v>
      </c>
      <c r="L9" s="46">
        <f t="shared" si="1"/>
        <v>24.8</v>
      </c>
      <c r="M9" s="46">
        <f t="shared" si="2"/>
        <v>-24.8</v>
      </c>
      <c r="N9" s="111" t="e">
        <f t="shared" si="3"/>
        <v>#DIV/0!</v>
      </c>
    </row>
    <row r="10" spans="1:14" ht="36.75" customHeight="1">
      <c r="A10" s="195"/>
      <c r="B10" s="16" t="s">
        <v>283</v>
      </c>
      <c r="C10" s="46"/>
      <c r="D10" s="46"/>
      <c r="E10" s="46"/>
      <c r="F10" s="46"/>
      <c r="G10" s="46"/>
      <c r="H10" s="46"/>
      <c r="I10" s="46"/>
      <c r="J10" s="19">
        <v>26.9</v>
      </c>
      <c r="K10" s="46">
        <f t="shared" si="0"/>
        <v>0</v>
      </c>
      <c r="L10" s="46">
        <f t="shared" si="1"/>
        <v>26.9</v>
      </c>
      <c r="M10" s="46">
        <f t="shared" si="2"/>
        <v>-26.9</v>
      </c>
      <c r="N10" s="111" t="e">
        <f t="shared" si="3"/>
        <v>#DIV/0!</v>
      </c>
    </row>
    <row r="11" spans="1:14" ht="37.5" customHeight="1">
      <c r="A11" s="195">
        <v>2</v>
      </c>
      <c r="B11" s="175" t="s">
        <v>287</v>
      </c>
      <c r="C11" s="46"/>
      <c r="D11" s="46"/>
      <c r="E11" s="46"/>
      <c r="F11" s="46"/>
      <c r="G11" s="46"/>
      <c r="H11" s="46"/>
      <c r="I11" s="46">
        <f>I12</f>
        <v>2511.9</v>
      </c>
      <c r="J11" s="46">
        <v>1126.5</v>
      </c>
      <c r="K11" s="46">
        <f t="shared" si="0"/>
        <v>2511.9</v>
      </c>
      <c r="L11" s="46">
        <f t="shared" si="1"/>
        <v>1126.5</v>
      </c>
      <c r="M11" s="46">
        <f t="shared" si="2"/>
        <v>1385.4</v>
      </c>
      <c r="N11" s="46">
        <f t="shared" si="3"/>
        <v>44.846530514749787</v>
      </c>
    </row>
    <row r="12" spans="1:14" ht="93" customHeight="1">
      <c r="A12" s="70"/>
      <c r="B12" s="170" t="s">
        <v>285</v>
      </c>
      <c r="C12" s="46"/>
      <c r="D12" s="46"/>
      <c r="E12" s="46"/>
      <c r="F12" s="46"/>
      <c r="G12" s="46"/>
      <c r="H12" s="46"/>
      <c r="I12" s="46">
        <v>2511.9</v>
      </c>
      <c r="J12" s="47">
        <v>1126.5</v>
      </c>
      <c r="K12" s="46">
        <f t="shared" si="0"/>
        <v>2511.9</v>
      </c>
      <c r="L12" s="46">
        <f t="shared" si="1"/>
        <v>1126.5</v>
      </c>
      <c r="M12" s="46">
        <f t="shared" si="2"/>
        <v>1385.4</v>
      </c>
      <c r="N12" s="46">
        <f t="shared" si="3"/>
        <v>44.846530514749787</v>
      </c>
    </row>
    <row r="13" spans="1:14" ht="24.75" customHeight="1">
      <c r="A13" s="327" t="s">
        <v>7</v>
      </c>
      <c r="B13" s="327"/>
      <c r="C13" s="49"/>
      <c r="D13" s="49"/>
      <c r="E13" s="49"/>
      <c r="F13" s="49">
        <f t="shared" ref="F13:N13" si="4">F6</f>
        <v>0</v>
      </c>
      <c r="G13" s="49"/>
      <c r="H13" s="49"/>
      <c r="I13" s="49">
        <f>I6+I12</f>
        <v>2749.9</v>
      </c>
      <c r="J13" s="49">
        <f>J6+J12</f>
        <v>1512.1</v>
      </c>
      <c r="K13" s="46">
        <f t="shared" si="0"/>
        <v>2749.9</v>
      </c>
      <c r="L13" s="46">
        <f t="shared" si="1"/>
        <v>1512.1</v>
      </c>
      <c r="M13" s="46">
        <f t="shared" ref="M13" si="5">K13-L13</f>
        <v>1237.8000000000002</v>
      </c>
      <c r="N13" s="46">
        <f t="shared" si="4"/>
        <v>162.01680672268907</v>
      </c>
    </row>
    <row r="14" spans="1:14" s="8" customFormat="1" ht="81.75" customHeight="1">
      <c r="A14" s="50"/>
      <c r="B14" s="331" t="s">
        <v>133</v>
      </c>
      <c r="C14" s="331"/>
      <c r="D14" s="62"/>
      <c r="E14" s="319"/>
      <c r="F14" s="319"/>
      <c r="G14" s="62"/>
      <c r="H14" s="332" t="s">
        <v>257</v>
      </c>
      <c r="I14" s="332"/>
      <c r="J14" s="112"/>
      <c r="K14" s="50"/>
      <c r="L14" s="50"/>
      <c r="M14" s="50"/>
      <c r="N14" s="50"/>
    </row>
    <row r="15" spans="1:14" s="2" customFormat="1" ht="19.5" customHeight="1">
      <c r="A15" s="26"/>
      <c r="B15" s="26" t="s">
        <v>8</v>
      </c>
      <c r="C15" s="71"/>
      <c r="D15" s="71"/>
      <c r="E15" s="330" t="s">
        <v>261</v>
      </c>
      <c r="F15" s="330"/>
      <c r="G15" s="128"/>
      <c r="H15" s="318" t="s">
        <v>14</v>
      </c>
      <c r="I15" s="318"/>
      <c r="J15" s="128"/>
      <c r="K15" s="128"/>
      <c r="L15" s="26"/>
      <c r="M15" s="26"/>
      <c r="N15" s="26"/>
    </row>
    <row r="16" spans="1:14" ht="20.100000000000001" customHeight="1">
      <c r="A16" s="44"/>
      <c r="B16" s="51"/>
      <c r="C16" s="52"/>
      <c r="D16" s="52"/>
      <c r="E16" s="53"/>
      <c r="F16" s="53"/>
    </row>
    <row r="17" spans="1:2" s="321" customFormat="1" ht="19.149999999999999" customHeight="1">
      <c r="A17" s="320" t="s">
        <v>46</v>
      </c>
    </row>
    <row r="20" spans="1:2">
      <c r="B20" s="54"/>
    </row>
  </sheetData>
  <mergeCells count="15">
    <mergeCell ref="H15:I15"/>
    <mergeCell ref="E14:F14"/>
    <mergeCell ref="A1:M1"/>
    <mergeCell ref="A17:XFD17"/>
    <mergeCell ref="A3:A4"/>
    <mergeCell ref="K3:N3"/>
    <mergeCell ref="A13:B13"/>
    <mergeCell ref="B3:B4"/>
    <mergeCell ref="I3:J3"/>
    <mergeCell ref="G3:H3"/>
    <mergeCell ref="E3:F3"/>
    <mergeCell ref="C3:D3"/>
    <mergeCell ref="E15:F15"/>
    <mergeCell ref="B14:C14"/>
    <mergeCell ref="H14:I14"/>
  </mergeCells>
  <phoneticPr fontId="3" type="noConversion"/>
  <printOptions horizontalCentered="1"/>
  <pageMargins left="0.39370078740157483" right="0.39370078740157483" top="0.78740157480314965" bottom="0.39370078740157483" header="0.19685039370078741" footer="0.31496062992125984"/>
  <pageSetup paperSize="9" scale="65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8</vt:i4>
      </vt:variant>
    </vt:vector>
  </HeadingPairs>
  <TitlesOfParts>
    <vt:vector size="13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фінпла'!Заголовки_для_друку</vt:lpstr>
      <vt:lpstr>'Розшифровка 1 до Формування'!Заголовки_для_друку</vt:lpstr>
      <vt:lpstr>'Розшифровка 2 до формування'!Заголовки_для_друку</vt:lpstr>
      <vt:lpstr>'Звіт про виконання показ фінпла'!Область_друку</vt:lpstr>
      <vt:lpstr>'Розшифровка 1 до Формування'!Область_друку</vt:lpstr>
      <vt:lpstr>'Розшифровка 2 до формування'!Область_друку</vt:lpstr>
      <vt:lpstr>'Розшифровка за джерелами'!Область_друку</vt:lpstr>
      <vt:lpstr>'Розшифровка кап'!Область_друку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2023-06-23T06:19:12Z</cp:lastPrinted>
  <dcterms:created xsi:type="dcterms:W3CDTF">2003-03-13T16:00:22Z</dcterms:created>
  <dcterms:modified xsi:type="dcterms:W3CDTF">2023-06-23T11:26:39Z</dcterms:modified>
</cp:coreProperties>
</file>